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https://ausgrid.sharepoint.com/teams/SP0539/Shared Documents/Regulation/24-29 Determination/1500 Revised Proposal/1510 RP submission/02. Public Docs/"/>
    </mc:Choice>
  </mc:AlternateContent>
  <xr:revisionPtr revIDLastSave="35" documentId="8_{228F49DC-6975-425A-A41D-D36B6136480A}" xr6:coauthVersionLast="47" xr6:coauthVersionMax="47" xr10:uidLastSave="{D519CFD3-3270-4258-8214-0E74D742C9F2}"/>
  <bookViews>
    <workbookView xWindow="-120" yWindow="-120" windowWidth="29040" windowHeight="15840" xr2:uid="{843CB524-E8D0-409C-8D6D-9D55625A88C7}"/>
  </bookViews>
  <sheets>
    <sheet name="Coverpage" sheetId="34" r:id="rId1"/>
    <sheet name="Index" sheetId="1" r:id="rId2"/>
    <sheet name="Input|General" sheetId="2" r:id="rId3"/>
    <sheet name="Input|Inflation" sheetId="26" r:id="rId4"/>
    <sheet name="Calc|CPI Indexes" sheetId="4" r:id="rId5"/>
    <sheet name="Calc|Cyber security" sheetId="12" r:id="rId6"/>
    <sheet name="Calc|Insurance premiums" sheetId="6" r:id="rId7"/>
    <sheet name="Calc|Climate resilience" sheetId="13" r:id="rId8"/>
    <sheet name="Calc|Smart meter data" sheetId="31" r:id="rId9"/>
    <sheet name="Calc|Network innovation program" sheetId="15" r:id="rId10"/>
    <sheet name="Calc|ICT enablement for CER" sheetId="30" r:id="rId11"/>
    <sheet name="Calc|Property" sheetId="17" r:id="rId12"/>
    <sheet name="Calc|BY Adj CAM adjustment" sheetId="28" r:id="rId13"/>
    <sheet name="Output|Step Changes" sheetId="11" r:id="rId14"/>
    <sheet name="Output|Category Specific" sheetId="32" r:id="rId15"/>
    <sheet name="Output|Base Year Adjustments" sheetId="25" r:id="rId16"/>
    <sheet name="Lookup|Tables" sheetId="8" r:id="rId17"/>
    <sheet name="Workings - CAM Allocators" sheetId="33" r:id="rId18"/>
  </sheets>
  <definedNames>
    <definedName name="______CC0101" hidden="1">{#N/A,#N/A,FALSE,"P&amp;L";#N/A,#N/A,FALSE,"R-P&amp;L";#N/A,#N/A,FALSE,"N-P&amp;L";#N/A,#N/A,FALSE,"E-P&amp;L"}</definedName>
    <definedName name="______New1" hidden="1">{#N/A,#N/A,FALSE,"Aging Summary";#N/A,#N/A,FALSE,"Ratio Analysis";#N/A,#N/A,FALSE,"Test 120 Day Accts";#N/A,#N/A,FALSE,"Tickmarks"}</definedName>
    <definedName name="_____CC0101" hidden="1">{#N/A,#N/A,FALSE,"P&amp;L";#N/A,#N/A,FALSE,"R-P&amp;L";#N/A,#N/A,FALSE,"N-P&amp;L";#N/A,#N/A,FALSE,"E-P&amp;L"}</definedName>
    <definedName name="_____New1" hidden="1">{#N/A,#N/A,FALSE,"Aging Summary";#N/A,#N/A,FALSE,"Ratio Analysis";#N/A,#N/A,FALSE,"Test 120 Day Accts";#N/A,#N/A,FALSE,"Tickmarks"}</definedName>
    <definedName name="____afg2" hidden="1">{#N/A,#N/A,FALSE,"Board Rpt 1";#N/A,#N/A,FALSE,"Board Rpt 2";#N/A,#N/A,FALSE,"Board Rpt 3";#N/A,#N/A,FALSE,"Board Rpt 4";#N/A,#N/A,FALSE,"Board Rpt 5";#N/A,#N/A,FALSE,"Board Rpt 6";#N/A,#N/A,FALSE,"Board Rpt 7";#N/A,#N/A,FALSE,"Board Rpt 8";#N/A,#N/A,FALSE,"Board Rpt 9"}</definedName>
    <definedName name="____Feb08" hidden="1">{#N/A,#N/A,FALSE,"Board Rpt 1";#N/A,#N/A,FALSE,"Board Rpt 2";#N/A,#N/A,FALSE,"Board Rpt 3";#N/A,#N/A,FALSE,"Board Rpt 4";#N/A,#N/A,FALSE,"Board Rpt 5";#N/A,#N/A,FALSE,"Board Rpt 6";#N/A,#N/A,FALSE,"Board Rpt 7";#N/A,#N/A,FALSE,"Board Rpt 8";#N/A,#N/A,FALSE,"Board Rpt 9"}</definedName>
    <definedName name="____New1" hidden="1">{#N/A,#N/A,FALSE,"Aging Summary";#N/A,#N/A,FALSE,"Ratio Analysis";#N/A,#N/A,FALSE,"Test 120 Day Accts";#N/A,#N/A,FALSE,"Tickmarks"}</definedName>
    <definedName name="___AFG1" hidden="1">{#N/A,#N/A,FALSE,"Board Rpt 1";#N/A,#N/A,FALSE,"Board Rpt 2";#N/A,#N/A,FALSE,"Board Rpt 3";#N/A,#N/A,FALSE,"Board Rpt 4";#N/A,#N/A,FALSE,"Board Rpt 5";#N/A,#N/A,FALSE,"Board Rpt 6";#N/A,#N/A,FALSE,"Board Rpt 7";#N/A,#N/A,FALSE,"Board Rpt 8";#N/A,#N/A,FALSE,"Board Rpt 9"}</definedName>
    <definedName name="___AFG1_1" hidden="1">{#N/A,#N/A,FALSE,"Board Rpt 1";#N/A,#N/A,FALSE,"Board Rpt 2";#N/A,#N/A,FALSE,"Board Rpt 3";#N/A,#N/A,FALSE,"Board Rpt 4";#N/A,#N/A,FALSE,"Board Rpt 5";#N/A,#N/A,FALSE,"Board Rpt 6";#N/A,#N/A,FALSE,"Board Rpt 7";#N/A,#N/A,FALSE,"Board Rpt 8";#N/A,#N/A,FALSE,"Board Rpt 9"}</definedName>
    <definedName name="___afg2" hidden="1">{#N/A,#N/A,FALSE,"Board Rpt 1";#N/A,#N/A,FALSE,"Board Rpt 2";#N/A,#N/A,FALSE,"Board Rpt 3";#N/A,#N/A,FALSE,"Board Rpt 4";#N/A,#N/A,FALSE,"Board Rpt 5";#N/A,#N/A,FALSE,"Board Rpt 6";#N/A,#N/A,FALSE,"Board Rpt 7";#N/A,#N/A,FALSE,"Board Rpt 8";#N/A,#N/A,FALSE,"Board Rpt 9"}</definedName>
    <definedName name="___afg2_1" hidden="1">{#N/A,#N/A,FALSE,"Board Rpt 1";#N/A,#N/A,FALSE,"Board Rpt 2";#N/A,#N/A,FALSE,"Board Rpt 3";#N/A,#N/A,FALSE,"Board Rpt 4";#N/A,#N/A,FALSE,"Board Rpt 5";#N/A,#N/A,FALSE,"Board Rpt 6";#N/A,#N/A,FALSE,"Board Rpt 7";#N/A,#N/A,FALSE,"Board Rpt 8";#N/A,#N/A,FALSE,"Board Rpt 9"}</definedName>
    <definedName name="___CC0101" hidden="1">{#N/A,#N/A,FALSE,"P&amp;L";#N/A,#N/A,FALSE,"R-P&amp;L";#N/A,#N/A,FALSE,"N-P&amp;L";#N/A,#N/A,FALSE,"E-P&amp;L"}</definedName>
    <definedName name="___Feb08" hidden="1">{#N/A,#N/A,FALSE,"Board Rpt 1";#N/A,#N/A,FALSE,"Board Rpt 2";#N/A,#N/A,FALSE,"Board Rpt 3";#N/A,#N/A,FALSE,"Board Rpt 4";#N/A,#N/A,FALSE,"Board Rpt 5";#N/A,#N/A,FALSE,"Board Rpt 6";#N/A,#N/A,FALSE,"Board Rpt 7";#N/A,#N/A,FALSE,"Board Rpt 8";#N/A,#N/A,FALSE,"Board Rpt 9"}</definedName>
    <definedName name="__123Graph_A" hidden="1">#REF!</definedName>
    <definedName name="__123Graph_ACurrent" hidden="1">#REF!</definedName>
    <definedName name="__123Graph_B" hidden="1">#REF!</definedName>
    <definedName name="__123Graph_BCurrent" hidden="1">#REF!</definedName>
    <definedName name="__123Graph_C" hidden="1">#REF!</definedName>
    <definedName name="__123Graph_CCurrent" hidden="1">#REF!</definedName>
    <definedName name="__123Graph_CWH2" hidden="1">#REF!</definedName>
    <definedName name="__123Graph_CWH3" hidden="1">#REF!</definedName>
    <definedName name="__123Graph_D" hidden="1">#REF!</definedName>
    <definedName name="__123Graph_DCurrent" hidden="1">#REF!</definedName>
    <definedName name="__123Graph_E" hidden="1">#REF!</definedName>
    <definedName name="__123Graph_ECurrent" hidden="1">#REF!</definedName>
    <definedName name="__123Graph_F" hidden="1">#REF!</definedName>
    <definedName name="__123Graph_FCurrent" hidden="1">#REF!</definedName>
    <definedName name="__123Graph_X" hidden="1">#REF!</definedName>
    <definedName name="__123Graph_XChart1" hidden="1">#REF!</definedName>
    <definedName name="__123Graph_XCurrent" hidden="1">#REF!</definedName>
    <definedName name="__AFG1" hidden="1">{#N/A,#N/A,FALSE,"Board Rpt 1";#N/A,#N/A,FALSE,"Board Rpt 2";#N/A,#N/A,FALSE,"Board Rpt 3";#N/A,#N/A,FALSE,"Board Rpt 4";#N/A,#N/A,FALSE,"Board Rpt 5";#N/A,#N/A,FALSE,"Board Rpt 6";#N/A,#N/A,FALSE,"Board Rpt 7";#N/A,#N/A,FALSE,"Board Rpt 8";#N/A,#N/A,FALSE,"Board Rpt 9"}</definedName>
    <definedName name="__AFG1_1" hidden="1">{#N/A,#N/A,FALSE,"Board Rpt 1";#N/A,#N/A,FALSE,"Board Rpt 2";#N/A,#N/A,FALSE,"Board Rpt 3";#N/A,#N/A,FALSE,"Board Rpt 4";#N/A,#N/A,FALSE,"Board Rpt 5";#N/A,#N/A,FALSE,"Board Rpt 6";#N/A,#N/A,FALSE,"Board Rpt 7";#N/A,#N/A,FALSE,"Board Rpt 8";#N/A,#N/A,FALSE,"Board Rpt 9"}</definedName>
    <definedName name="__afg2" hidden="1">{#N/A,#N/A,FALSE,"Board Rpt 1";#N/A,#N/A,FALSE,"Board Rpt 2";#N/A,#N/A,FALSE,"Board Rpt 3";#N/A,#N/A,FALSE,"Board Rpt 4";#N/A,#N/A,FALSE,"Board Rpt 5";#N/A,#N/A,FALSE,"Board Rpt 6";#N/A,#N/A,FALSE,"Board Rpt 7";#N/A,#N/A,FALSE,"Board Rpt 8";#N/A,#N/A,FALSE,"Board Rpt 9"}</definedName>
    <definedName name="__afg2_1" hidden="1">{#N/A,#N/A,FALSE,"Board Rpt 1";#N/A,#N/A,FALSE,"Board Rpt 2";#N/A,#N/A,FALSE,"Board Rpt 3";#N/A,#N/A,FALSE,"Board Rpt 4";#N/A,#N/A,FALSE,"Board Rpt 5";#N/A,#N/A,FALSE,"Board Rpt 6";#N/A,#N/A,FALSE,"Board Rpt 7";#N/A,#N/A,FALSE,"Board Rpt 8";#N/A,#N/A,FALSE,"Board Rpt 9"}</definedName>
    <definedName name="__APW_RESTORE_DATA140__" hidden="1">#REF!</definedName>
    <definedName name="__APW_RESTORE_DATA141__" hidden="1">#REF!</definedName>
    <definedName name="__APW_RESTORE_DATA142__" hidden="1">#REF!</definedName>
    <definedName name="__APW_RESTORE_DATA143__" hidden="1">#REF!</definedName>
    <definedName name="__APW_RESTORE_DATA144__" hidden="1">#REF!</definedName>
    <definedName name="__APW_RESTORE_DATA145__" hidden="1">#REF!</definedName>
    <definedName name="__APW_RESTORE_DATA146__" hidden="1">#REF!</definedName>
    <definedName name="__APW_RESTORE_DATA147__" hidden="1">#REF!</definedName>
    <definedName name="__APW_RESTORE_DATA148__" hidden="1">#REF!</definedName>
    <definedName name="__APW_RESTORE_DATA149__" hidden="1">#REF!</definedName>
    <definedName name="__APW_RESTORE_DATA150__" hidden="1">#REF!</definedName>
    <definedName name="__APW_RESTORE_DATA151__" hidden="1">#REF!</definedName>
    <definedName name="__APW_RESTORE_DATA152__" hidden="1">#REF!</definedName>
    <definedName name="__APW_RESTORE_DATA153__" hidden="1">#REF!</definedName>
    <definedName name="__APW_RESTORE_DATA154__" hidden="1">#REF!</definedName>
    <definedName name="__APW_RESTORE_DATA155__" hidden="1">#REF!</definedName>
    <definedName name="__APW_RESTORE_DATA156__" hidden="1">#REF!</definedName>
    <definedName name="__APW_RESTORE_DATA157__" hidden="1">#REF!</definedName>
    <definedName name="__APW_RESTORE_DATA158__" hidden="1">#REF!</definedName>
    <definedName name="__APW_RESTORE_DATA159__" hidden="1">#REF!</definedName>
    <definedName name="__APW_RESTORE_DATA160__" hidden="1">#REF!</definedName>
    <definedName name="__APW_RESTORE_DATA161__" hidden="1">#REF!</definedName>
    <definedName name="__APW_RESTORE_DATA162__" hidden="1">#REF!,#REF!,#REF!,#REF!,#REF!,#REF!,#REF!,#REF!,#REF!,#REF!,#REF!,#REF!,#REF!,#REF!,#REF!,#REF!</definedName>
    <definedName name="__APW_RESTORE_DATA163__" hidden="1">#REF!,#REF!,#REF!,#REF!,#REF!,#REF!,#REF!,#REF!,#REF!,#REF!</definedName>
    <definedName name="__APW_RESTORE_DATA164__" hidden="1">#REF!</definedName>
    <definedName name="__APW_RESTORE_DATA165__" hidden="1">#REF!</definedName>
    <definedName name="__APW_RESTORE_DATA166__" hidden="1">#REF!</definedName>
    <definedName name="__APW_RESTORE_DATA167__" hidden="1">#REF!</definedName>
    <definedName name="__APW_RESTORE_DATA168__" hidden="1">#REF!</definedName>
    <definedName name="__APW_RESTORE_DATA169__" hidden="1">#REF!</definedName>
    <definedName name="__APW_RESTORE_DATA170__" hidden="1">#REF!</definedName>
    <definedName name="__APW_RESTORE_DATA171__" hidden="1">#REF!</definedName>
    <definedName name="__APW_RESTORE_DATA172__" hidden="1">#REF!</definedName>
    <definedName name="__APW_RESTORE_DATA173__" hidden="1">#REF!</definedName>
    <definedName name="__APW_RESTORE_DATA174__" hidden="1">#REF!</definedName>
    <definedName name="__APW_RESTORE_DATA175__" hidden="1">#REF!,#REF!,#REF!,#REF!,#REF!,#REF!,#REF!,#REF!,#REF!,#REF!,#REF!,#REF!,#REF!,#REF!,#REF!,#REF!</definedName>
    <definedName name="__APW_RESTORE_DATA176__" hidden="1">#REF!,#REF!,#REF!,#REF!,#REF!,#REF!,#REF!,#REF!,#REF!,#REF!</definedName>
    <definedName name="__APW_RESTORE_DATA177__" hidden="1">#REF!,#REF!,#REF!,#REF!,#REF!,#REF!,#REF!,#REF!,#REF!,#REF!,#REF!,#REF!,#REF!,#REF!,#REF!,#REF!</definedName>
    <definedName name="__APW_RESTORE_DATA178__" hidden="1">#REF!,#REF!,#REF!,#REF!,#REF!,#REF!,#REF!,#REF!,#REF!,#REF!</definedName>
    <definedName name="__APW_RESTORE_DATA179__" hidden="1">#REF!,#REF!,#REF!,#REF!,#REF!,#REF!,#REF!,#REF!,#REF!,#REF!,#REF!,#REF!,#REF!,#REF!,#REF!,#REF!</definedName>
    <definedName name="__APW_RESTORE_DATA180__" hidden="1">#REF!,#REF!,#REF!,#REF!,#REF!,#REF!,#REF!,#REF!,#REF!,#REF!</definedName>
    <definedName name="__APW_RESTORE_DATA181__" hidden="1">#REF!,#REF!,#REF!,#REF!,#REF!,#REF!,#REF!,#REF!,#REF!,#REF!,#REF!,#REF!,#REF!,#REF!,#REF!,#REF!</definedName>
    <definedName name="__APW_RESTORE_DATA182__" hidden="1">#REF!,#REF!,#REF!,#REF!,#REF!,#REF!,#REF!,#REF!,#REF!,#REF!</definedName>
    <definedName name="__APW_RESTORE_DATA183__" hidden="1">#REF!,#REF!,#REF!,#REF!,#REF!,#REF!,#REF!,#REF!,#REF!,#REF!,#REF!,#REF!,#REF!,#REF!,#REF!,#REF!</definedName>
    <definedName name="__APW_RESTORE_DATA184__" hidden="1">#REF!,#REF!,#REF!,#REF!,#REF!,#REF!,#REF!,#REF!,#REF!,#REF!</definedName>
    <definedName name="__APW_RESTORE_DATA185__" hidden="1">#REF!,#REF!,#REF!,#REF!,#REF!,#REF!,#REF!,#REF!,#REF!,#REF!,#REF!,#REF!,#REF!,#REF!,#REF!</definedName>
    <definedName name="__APW_RESTORE_DATA186__" hidden="1">#REF!,#REF!,#REF!,#REF!,#REF!,#REF!,#REF!,#REF!,#REF!,#REF!,#REF!</definedName>
    <definedName name="__APW_RESTORE_DATA187__" hidden="1">#REF!,#REF!,#REF!,#REF!,#REF!,#REF!,#REF!,#REF!,#REF!,#REF!,#REF!,#REF!,#REF!,#REF!,#REF!</definedName>
    <definedName name="__APW_RESTORE_DATA188__" hidden="1">#REF!,#REF!,#REF!,#REF!,#REF!,#REF!,#REF!,#REF!,#REF!,#REF!,#REF!</definedName>
    <definedName name="__APW_RESTORE_DATA189__" hidden="1">#REF!,#REF!,#REF!,#REF!,#REF!,#REF!,#REF!,#REF!,#REF!,#REF!,#REF!,#REF!,#REF!,#REF!,#REF!</definedName>
    <definedName name="__APW_RESTORE_DATA190__" hidden="1">#REF!,#REF!,#REF!,#REF!,#REF!,#REF!,#REF!,#REF!,#REF!,#REF!,#REF!</definedName>
    <definedName name="__APW_RESTORE_DATA191__" hidden="1">#REF!,#REF!,#REF!,#REF!,#REF!,#REF!,#REF!,#REF!,#REF!,#REF!,#REF!,#REF!,#REF!,#REF!,#REF!</definedName>
    <definedName name="__APW_RESTORE_DATA192__" hidden="1">#REF!,#REF!,#REF!,#REF!,#REF!,#REF!,#REF!,#REF!,#REF!,#REF!,#REF!,#REF!</definedName>
    <definedName name="__APW_RESTORE_DATA193__" hidden="1">#REF!,#REF!,#REF!,#REF!,#REF!,#REF!,#REF!,#REF!,#REF!,#REF!,#REF!,#REF!,#REF!,#REF!,#REF!</definedName>
    <definedName name="__APW_RESTORE_DATA194__" hidden="1">#REF!,#REF!,#REF!,#REF!,#REF!,#REF!,#REF!,#REF!,#REF!,#REF!,#REF!</definedName>
    <definedName name="__APW_RESTORE_DATA195__" hidden="1">#REF!,#REF!,#REF!,#REF!,#REF!,#REF!,#REF!,#REF!,#REF!,#REF!,#REF!,#REF!,#REF!,#REF!,#REF!</definedName>
    <definedName name="__APW_RESTORE_DATA196__" hidden="1">#REF!,#REF!,#REF!,#REF!,#REF!,#REF!,#REF!,#REF!,#REF!,#REF!,#REF!</definedName>
    <definedName name="__APW_RESTORE_DATA197__" hidden="1">#REF!,#REF!,#REF!,#REF!,#REF!,#REF!,#REF!,#REF!,#REF!,#REF!,#REF!,#REF!,#REF!,#REF!,#REF!</definedName>
    <definedName name="__APW_RESTORE_DATA198__" hidden="1">#REF!,#REF!,#REF!,#REF!,#REF!,#REF!,#REF!,#REF!,#REF!,#REF!,#REF!</definedName>
    <definedName name="__APW_RESTORE_DATA199__" hidden="1">#REF!,#REF!,#REF!,#REF!,#REF!,#REF!,#REF!,#REF!,#REF!,#REF!,#REF!,#REF!,#REF!,#REF!,#REF!</definedName>
    <definedName name="__APW_RESTORE_DATA200__" hidden="1">#REF!,#REF!,#REF!,#REF!,#REF!,#REF!,#REF!,#REF!,#REF!,#REF!,#REF!</definedName>
    <definedName name="__APW_RESTORE_DATA201__" hidden="1">#REF!,#REF!,#REF!,#REF!,#REF!,#REF!,#REF!,#REF!,#REF!,#REF!,#REF!,#REF!,#REF!,#REF!,#REF!</definedName>
    <definedName name="__APW_RESTORE_DATA202__" hidden="1">#REF!,#REF!,#REF!,#REF!,#REF!,#REF!,#REF!,#REF!,#REF!,#REF!,#REF!,#REF!</definedName>
    <definedName name="__APW_RESTORE_DATA203__" hidden="1">#REF!,#REF!,#REF!,#REF!,#REF!,#REF!,#REF!,#REF!,#REF!,#REF!,#REF!,#REF!,#REF!,#REF!,#REF!</definedName>
    <definedName name="__APW_RESTORE_DATA204__" hidden="1">#REF!,#REF!,#REF!,#REF!,#REF!,#REF!,#REF!,#REF!,#REF!,#REF!,#REF!,#REF!</definedName>
    <definedName name="__APW_RESTORE_DATA205__" hidden="1">#REF!,#REF!,#REF!,#REF!,#REF!,#REF!,#REF!,#REF!,#REF!,#REF!,#REF!,#REF!,#REF!,#REF!,#REF!</definedName>
    <definedName name="__APW_RESTORE_DATA206__" hidden="1">#REF!,#REF!,#REF!,#REF!,#REF!,#REF!,#REF!,#REF!,#REF!,#REF!,#REF!,#REF!</definedName>
    <definedName name="__CC0101" hidden="1">{#N/A,#N/A,FALSE,"P&amp;L";#N/A,#N/A,FALSE,"R-P&amp;L";#N/A,#N/A,FALSE,"N-P&amp;L";#N/A,#N/A,FALSE,"E-P&amp;L"}</definedName>
    <definedName name="__CC0101_1" hidden="1">{#N/A,#N/A,FALSE,"P&amp;L";#N/A,#N/A,FALSE,"R-P&amp;L";#N/A,#N/A,FALSE,"N-P&amp;L";#N/A,#N/A,FALSE,"E-P&amp;L"}</definedName>
    <definedName name="__FDS_HYPERLINK_TOGGLE_STATE__" hidden="1">"ON"</definedName>
    <definedName name="__FDS_UNIQUE_RANGE_ID_GENERATOR_COUNTER" hidden="1">843</definedName>
    <definedName name="__FDS_USED_FOR_REUSING_RANGE_IDS_RECYCLE" hidden="1">{826,807,798,835,834,836,823,804,831,817,833,801,814,364,365,366,367,354,355,368,356,357,369,358,359,370,360,361,371,372,373,134,152,343,240,33,266,268,74,75,76,77,78,79,80,81,82,83,84,85,86,87,88,89,90,91,92,93,94,95,96,30,97,98,99,101,106,111,115,121,277,280,283,267,271,274,716,225,720,100,231,197,236,110,112,113,114,116,117,102,103,118,119,107,108,109,122,120,104,105,123,127,128,129,167,124,125,163,126,132,133,135,164,140,131,142,144,143,138,168,147,136,150,166,137,139,149,760,761,146,762,145,148,759,151,153,764,154,158,763,159,155,765,156,162,767,160,170,171,174,175,172,176,180,179,181,183,182,185,184,186,187,188,189,190,191,192,193,194,195,196,198,199,200,201,202,203,204,205,206,207,208,209,210,211,212,213,214,215,216,217,218,219,220,221,222,224,223,226,228,227,230,229,233,234,235,232,237,238,241,242,243,244,245,247,248,250,251,252,717,714,718,254,258,755,294,710,376,302,299,304,766,161,157,257,165,255,256,259,270,265,261,275,276,278,279,272,284,285,286,768,273,281,289,769,290,770,282,287,293,771,295,772,288,291,378,773,292,296,380,314,301,774,253,260,269,775,16,21,22,721,722,18,19,776,777,723,724,20,17,725,726,727,65,23,297,298,300,9,29,303,778,779,31,837,838,839,12,840,756,32,841,842,780,829,830,781,793,782}</definedName>
    <definedName name="__FDS_USED_FOR_REUSING_RANGE_IDS_RECYCLE_1" hidden="1">{826,807,798,835,834,836,823,804,831,817,833,801,814,364,365,366,367,354,355,368,356,357,369,358,359,370,360,361,371,372,373,134,152,343,240,33,266,268,74,75,76,77,78,79,80,81,82,83,84,85,86,87,88,89,90,91,92,93,94,95,96,30,97,98,99,101,106,111,115,121,277,280,283,267,271,274,716,225,720,100,231,197,236,110,112,113,114,116,117,102,103,118,119,107,108,109,122,120,104,105,123,127,128,129,167,124,125,163,126,132,133,135,164,140,131,142,144,143,138,168,147,136,150,166,137,139,149,760,761,146,762,145,148,759,151,153,764,154,158,763,159,155,765,156,162,767,160,170,171,174,175,172,176,180,179,181,183,182,185,184,186,187,188,189,190,191,192,193,194,195,196,198,199,200,201,202,203,204,205,206,207,208,209,210,211,212,213,214,215,216,217,218,219,220,221,222,224,223,226,228,227,230,229,233,234,235,232,237,238,241,242,243,244,245,247,248,250,251,252,717,714,718,254,258,755,294,710,376,302,299,304,766,161,157,257,165,255,256,259,270,265,261,275,276,278,279,272,284,285,286,768,273,281,289,769,290,770,282,287,293,771,295,772,288,291,378,773,292,296,380,314,301,774,253,260,269,775,16,21,22,721,722,18,19,776,777,723,724,20,17,725,726,727,65,23,297,298,300,9,29,303,778,779,31,837,838,839,12,840,756,32,841,842,780,829,830,781,793,782}</definedName>
    <definedName name="__Feb08" hidden="1">{#N/A,#N/A,FALSE,"Board Rpt 1";#N/A,#N/A,FALSE,"Board Rpt 2";#N/A,#N/A,FALSE,"Board Rpt 3";#N/A,#N/A,FALSE,"Board Rpt 4";#N/A,#N/A,FALSE,"Board Rpt 5";#N/A,#N/A,FALSE,"Board Rpt 6";#N/A,#N/A,FALSE,"Board Rpt 7";#N/A,#N/A,FALSE,"Board Rpt 8";#N/A,#N/A,FALSE,"Board Rpt 9"}</definedName>
    <definedName name="__Feb08_1" hidden="1">{#N/A,#N/A,FALSE,"Board Rpt 1";#N/A,#N/A,FALSE,"Board Rpt 2";#N/A,#N/A,FALSE,"Board Rpt 3";#N/A,#N/A,FALSE,"Board Rpt 4";#N/A,#N/A,FALSE,"Board Rpt 5";#N/A,#N/A,FALSE,"Board Rpt 6";#N/A,#N/A,FALSE,"Board Rpt 7";#N/A,#N/A,FALSE,"Board Rpt 8";#N/A,#N/A,FALSE,"Board Rpt 9"}</definedName>
    <definedName name="__New1" hidden="1">{#N/A,#N/A,FALSE,"Aging Summary";#N/A,#N/A,FALSE,"Ratio Analysis";#N/A,#N/A,FALSE,"Test 120 Day Accts";#N/A,#N/A,FALSE,"Tickmarks"}</definedName>
    <definedName name="_1__FDSAUDITLINK__" hidden="1">{"fdsup://directions/FAT Viewer?action=UPDATE&amp;creator=factset&amp;DYN_ARGS=TRUE&amp;DOC_NAME=FAT:FQL_AUDITING_CLIENT_TEMPLATE.FAT&amp;display_string=Audit&amp;VAR:KEY=KVEJEFQVSB&amp;VAR:QUERY=KChGRl9ERUJUKFFUUiwwKUBGRl9ERUJUKFNFTUksMCkpQEZGX0RFQlQoQU5OLDApKQ==&amp;WINDOW=FIRST_POP","UP&amp;HEIGHT=450&amp;WIDTH=450&amp;START_MAXIMIZED=FALSE&amp;VAR:CALENDAR=FIVEDAY&amp;VAR:INDEX=0"}</definedName>
    <definedName name="_1__FDSAUDITLINK___1" hidden="1">{"fdsup://directions/FAT Viewer?action=UPDATE&amp;creator=factset&amp;DYN_ARGS=TRUE&amp;DOC_NAME=FAT:FQL_AUDITING_CLIENT_TEMPLATE.FAT&amp;display_string=Audit&amp;VAR:KEY=KVEJEFQVSB&amp;VAR:QUERY=KChGRl9ERUJUKFFUUiwwKUBGRl9ERUJUKFNFTUksMCkpQEZGX0RFQlQoQU5OLDApKQ==&amp;WINDOW=FIRST_POP","UP&amp;HEIGHT=450&amp;WIDTH=450&amp;START_MAXIMIZED=FALSE&amp;VAR:CALENDAR=FIVEDAY&amp;VAR:INDEX=0"}</definedName>
    <definedName name="_10__FDSAUDITLINK__" hidden="1">{"fdsup://directions/FAT Viewer?action=UPDATE&amp;creator=factset&amp;DYN_ARGS=TRUE&amp;DOC_NAME=FAT:FQL_AUDITING_CLIENT_TEMPLATE.FAT&amp;display_string=Audit&amp;VAR:KEY=KVEJEFQVSB&amp;VAR:QUERY=KChGRl9ERUJUKFFUUiwwKUBGRl9ERUJUKFNFTUksMCkpQEZGX0RFQlQoQU5OLDApKQ==&amp;WINDOW=FIRST_POP","UP&amp;HEIGHT=450&amp;WIDTH=450&amp;START_MAXIMIZED=FALSE&amp;VAR:CALENDAR=FIVEDAY&amp;VAR:INDEX=0"}</definedName>
    <definedName name="_10__FDSAUDITLINK___1" hidden="1">{"fdsup://directions/FAT Viewer?action=UPDATE&amp;creator=factset&amp;DYN_ARGS=TRUE&amp;DOC_NAME=FAT:FQL_AUDITING_CLIENT_TEMPLATE.FAT&amp;display_string=Audit&amp;VAR:KEY=KVEJEFQVSB&amp;VAR:QUERY=KChGRl9ERUJUKFFUUiwwKUBGRl9ERUJUKFNFTUksMCkpQEZGX0RFQlQoQU5OLDApKQ==&amp;WINDOW=FIRST_POP","UP&amp;HEIGHT=450&amp;WIDTH=450&amp;START_MAXIMIZED=FALSE&amp;VAR:CALENDAR=FIVEDAY&amp;VAR:INDEX=0"}</definedName>
    <definedName name="_101__123Graph_ACHART_2" hidden="1">#REF!</definedName>
    <definedName name="_109__123Graph_ACHART_3" hidden="1">#REF!</definedName>
    <definedName name="_11__FDSAUDITLINK__" hidden="1">{"fdsup://directions/FAT Viewer?action=UPDATE&amp;creator=factset&amp;DYN_ARGS=TRUE&amp;DOC_NAME=FAT:FQL_AUDITING_CLIENT_TEMPLATE.FAT&amp;display_string=Audit&amp;VAR:KEY=KVEJEFQVSB&amp;VAR:QUERY=KChGRl9ERUJUKFFUUiwwKUBGRl9ERUJUKFNFTUksMCkpQEZGX0RFQlQoQU5OLDApKQ==&amp;WINDOW=FIRST_POP","UP&amp;HEIGHT=450&amp;WIDTH=450&amp;START_MAXIMIZED=FALSE&amp;VAR:CALENDAR=FIVEDAY&amp;VAR:INDEX=0"}</definedName>
    <definedName name="_11__FDSAUDITLINK___1" hidden="1">{"fdsup://directions/FAT Viewer?action=UPDATE&amp;creator=factset&amp;DYN_ARGS=TRUE&amp;DOC_NAME=FAT:FQL_AUDITING_CLIENT_TEMPLATE.FAT&amp;display_string=Audit&amp;VAR:KEY=KVEJEFQVSB&amp;VAR:QUERY=KChGRl9ERUJUKFFUUiwwKUBGRl9ERUJUKFNFTUksMCkpQEZGX0RFQlQoQU5OLDApKQ==&amp;WINDOW=FIRST_POP","UP&amp;HEIGHT=450&amp;WIDTH=450&amp;START_MAXIMIZED=FALSE&amp;VAR:CALENDAR=FIVEDAY&amp;VAR:INDEX=0"}</definedName>
    <definedName name="_110__123Graph_ACHART_30" hidden="1">#REF!</definedName>
    <definedName name="_111__123Graph_ACHART_31" hidden="1">#REF!</definedName>
    <definedName name="_112__123Graph_ACHART_35" hidden="1">#REF!</definedName>
    <definedName name="_116__123Graph_ACHART_3" hidden="1">#REF!</definedName>
    <definedName name="_117__123Graph_ACHART_30" hidden="1">#REF!</definedName>
    <definedName name="_118__123Graph_ACHART_31" hidden="1">#REF!</definedName>
    <definedName name="_119__123Graph_ACHART_35" hidden="1">#REF!</definedName>
    <definedName name="_126__123Graph_ACHART_4" hidden="1">#REF!</definedName>
    <definedName name="_13__FDSAUDITLINK__" hidden="1">{"fdsup://directions/FAT Viewer?action=UPDATE&amp;creator=factset&amp;DYN_ARGS=TRUE&amp;DOC_NAME=FAT:FQL_AUDITING_CLIENT_TEMPLATE.FAT&amp;display_string=Audit&amp;VAR:KEY=KVEJEFQVSB&amp;VAR:QUERY=KChGRl9ERUJUKFFUUiwwKUBGRl9ERUJUKFNFTUksMCkpQEZGX0RFQlQoQU5OLDApKQ==&amp;WINDOW=FIRST_POP","UP&amp;HEIGHT=450&amp;WIDTH=450&amp;START_MAXIMIZED=FALSE&amp;VAR:CALENDAR=FIVEDAY&amp;VAR:INDEX=0"}</definedName>
    <definedName name="_13__FDSAUDITLINK___1" hidden="1">{"fdsup://directions/FAT Viewer?action=UPDATE&amp;creator=factset&amp;DYN_ARGS=TRUE&amp;DOC_NAME=FAT:FQL_AUDITING_CLIENT_TEMPLATE.FAT&amp;display_string=Audit&amp;VAR:KEY=KVEJEFQVSB&amp;VAR:QUERY=KChGRl9ERUJUKFFUUiwwKUBGRl9ERUJUKFNFTUksMCkpQEZGX0RFQlQoQU5OLDApKQ==&amp;WINDOW=FIRST_POP","UP&amp;HEIGHT=450&amp;WIDTH=450&amp;START_MAXIMIZED=FALSE&amp;VAR:CALENDAR=FIVEDAY&amp;VAR:INDEX=0"}</definedName>
    <definedName name="_134__123Graph_ACHART_4" hidden="1">#REF!</definedName>
    <definedName name="_14__123Graph_ACHART_1" hidden="1">#REF!</definedName>
    <definedName name="_14__FDSAUDITLINK__" hidden="1">{"fdsup://directions/FAT Viewer?action=UPDATE&amp;creator=factset&amp;DYN_ARGS=TRUE&amp;DOC_NAME=FAT:FQL_AUDITING_CLIENT_TEMPLATE.FAT&amp;display_string=Audit&amp;VAR:KEY=KVEJEFQVSB&amp;VAR:QUERY=KChGRl9ERUJUKFFUUiwwKUBGRl9ERUJUKFNFTUksMCkpQEZGX0RFQlQoQU5OLDApKQ==&amp;WINDOW=FIRST_POP","UP&amp;HEIGHT=450&amp;WIDTH=450&amp;START_MAXIMIZED=FALSE&amp;VAR:CALENDAR=FIVEDAY&amp;VAR:INDEX=0"}</definedName>
    <definedName name="_14__FDSAUDITLINK___1" hidden="1">{"fdsup://directions/FAT Viewer?action=UPDATE&amp;creator=factset&amp;DYN_ARGS=TRUE&amp;DOC_NAME=FAT:FQL_AUDITING_CLIENT_TEMPLATE.FAT&amp;display_string=Audit&amp;VAR:KEY=KVEJEFQVSB&amp;VAR:QUERY=KChGRl9ERUJUKFFUUiwwKUBGRl9ERUJUKFNFTUksMCkpQEZGX0RFQlQoQU5OLDApKQ==&amp;WINDOW=FIRST_POP","UP&amp;HEIGHT=450&amp;WIDTH=450&amp;START_MAXIMIZED=FALSE&amp;VAR:CALENDAR=FIVEDAY&amp;VAR:INDEX=0"}</definedName>
    <definedName name="_140__123Graph_ACHART_5" hidden="1">#REF!</definedName>
    <definedName name="_149__123Graph_ACHART_5" hidden="1">#REF!</definedName>
    <definedName name="_15__123Graph_ACHART_1" hidden="1">#REF!</definedName>
    <definedName name="_15__FDSAUDITLINK__" hidden="1">{"fdsup://directions/FAT Viewer?action=UPDATE&amp;creator=factset&amp;DYN_ARGS=TRUE&amp;DOC_NAME=FAT:FQL_AUDITING_CLIENT_TEMPLATE.FAT&amp;display_string=Audit&amp;VAR:KEY=KVEJEFQVSB&amp;VAR:QUERY=KChGRl9ERUJUKFFUUiwwKUBGRl9ERUJUKFNFTUksMCkpQEZGX0RFQlQoQU5OLDApKQ==&amp;WINDOW=FIRST_POP","UP&amp;HEIGHT=450&amp;WIDTH=450&amp;START_MAXIMIZED=FALSE&amp;VAR:CALENDAR=FIVEDAY&amp;VAR:INDEX=0"}</definedName>
    <definedName name="_15__FDSAUDITLINK___1" hidden="1">{"fdsup://directions/FAT Viewer?action=UPDATE&amp;creator=factset&amp;DYN_ARGS=TRUE&amp;DOC_NAME=FAT:FQL_AUDITING_CLIENT_TEMPLATE.FAT&amp;display_string=Audit&amp;VAR:KEY=KVEJEFQVSB&amp;VAR:QUERY=KChGRl9ERUJUKFFUUiwwKUBGRl9ERUJUKFNFTUksMCkpQEZGX0RFQlQoQU5OLDApKQ==&amp;WINDOW=FIRST_POP","UP&amp;HEIGHT=450&amp;WIDTH=450&amp;START_MAXIMIZED=FALSE&amp;VAR:CALENDAR=FIVEDAY&amp;VAR:INDEX=0"}</definedName>
    <definedName name="_154__123Graph_ACHART_6" hidden="1">#REF!</definedName>
    <definedName name="_155__123Graph_ACHART_62" hidden="1">#REF!</definedName>
    <definedName name="_156__123Graph_ACHART_66" hidden="1">#REF!</definedName>
    <definedName name="_157__123Graph_ACHART_68" hidden="1">#REF!</definedName>
    <definedName name="_158__123Graph_ACHART_69" hidden="1">#REF!</definedName>
    <definedName name="_164__123Graph_ACHART_6" hidden="1">#REF!</definedName>
    <definedName name="_165__123Graph_ACHART_62" hidden="1">#REF!</definedName>
    <definedName name="_166__123Graph_ACHART_66" hidden="1">#REF!</definedName>
    <definedName name="_167__123Graph_ACHART_68" hidden="1">#REF!</definedName>
    <definedName name="_168__123Graph_ACHART_69" hidden="1">#REF!</definedName>
    <definedName name="_172__123Graph_ACHART_7" hidden="1">#REF!</definedName>
    <definedName name="_173__123Graph_ACHART_70" hidden="1">#REF!</definedName>
    <definedName name="_174__123Graph_ACHART_71" hidden="1">#REF!</definedName>
    <definedName name="_183__123Graph_ACHART_7" hidden="1">#REF!</definedName>
    <definedName name="_184__123Graph_ACHART_70" hidden="1">#REF!</definedName>
    <definedName name="_185__123Graph_ACHART_71" hidden="1">#REF!</definedName>
    <definedName name="_188__123Graph_ACHART_8" hidden="1">#REF!</definedName>
    <definedName name="_2__FDSAUDITLINK__" hidden="1">{"fdsup://directions/FAT Viewer?action=UPDATE&amp;creator=factset&amp;DYN_ARGS=TRUE&amp;DOC_NAME=FAT:FQL_AUDITING_CLIENT_TEMPLATE.FAT&amp;display_string=Audit&amp;VAR:KEY=KVEJEFQVSB&amp;VAR:QUERY=KChGRl9ERUJUKFFUUiwwKUBGRl9ERUJUKFNFTUksMCkpQEZGX0RFQlQoQU5OLDApKQ==&amp;WINDOW=FIRST_POP","UP&amp;HEIGHT=450&amp;WIDTH=450&amp;START_MAXIMIZED=FALSE&amp;VAR:CALENDAR=FIVEDAY&amp;VAR:INDEX=0"}</definedName>
    <definedName name="_2__FDSAUDITLINK___1" hidden="1">{"fdsup://directions/FAT Viewer?action=UPDATE&amp;creator=factset&amp;DYN_ARGS=TRUE&amp;DOC_NAME=FAT:FQL_AUDITING_CLIENT_TEMPLATE.FAT&amp;display_string=Audit&amp;VAR:KEY=KVEJEFQVSB&amp;VAR:QUERY=KChGRl9ERUJUKFFUUiwwKUBGRl9ERUJUKFNFTUksMCkpQEZGX0RFQlQoQU5OLDApKQ==&amp;WINDOW=FIRST_POP","UP&amp;HEIGHT=450&amp;WIDTH=450&amp;START_MAXIMIZED=FALSE&amp;VAR:CALENDAR=FIVEDAY&amp;VAR:INDEX=0"}</definedName>
    <definedName name="_200__123Graph_ACHART_8" hidden="1">#REF!</definedName>
    <definedName name="_202__123Graph_ACHART_9" hidden="1">#REF!</definedName>
    <definedName name="_210__123Graph_BCHART_1" hidden="1">#REF!</definedName>
    <definedName name="_215__123Graph_ACHART_9" hidden="1">#REF!</definedName>
    <definedName name="_223__123Graph_BCHART_1" hidden="1">#REF!</definedName>
    <definedName name="_224__123Graph_BCHART_10" hidden="1">#REF!</definedName>
    <definedName name="_238__123Graph_BCHART_10" hidden="1">#REF!</definedName>
    <definedName name="_238__123Graph_BCHART_11" hidden="1">#REF!</definedName>
    <definedName name="_239__123Graph_BCHART_12" hidden="1">#REF!</definedName>
    <definedName name="_24__FDSAUDITLINK__" hidden="1">{"fdsup://directions/FAT Viewer?action=UPDATE&amp;creator=factset&amp;DYN_ARGS=TRUE&amp;DOC_NAME=FAT:FQL_AUDITING_CLIENT_TEMPLATE.FAT&amp;display_string=Audit&amp;VAR:KEY=KVEJEFQVSB&amp;VAR:QUERY=KChGRl9ERUJUKFFUUiwwKUBGRl9ERUJUKFNFTUksMCkpQEZGX0RFQlQoQU5OLDApKQ==&amp;WINDOW=FIRST_POP","UP&amp;HEIGHT=450&amp;WIDTH=450&amp;START_MAXIMIZED=FALSE&amp;VAR:CALENDAR=FIVEDAY&amp;VAR:INDEX=0"}</definedName>
    <definedName name="_24__FDSAUDITLINK___1" hidden="1">{"fdsup://directions/FAT Viewer?action=UPDATE&amp;creator=factset&amp;DYN_ARGS=TRUE&amp;DOC_NAME=FAT:FQL_AUDITING_CLIENT_TEMPLATE.FAT&amp;display_string=Audit&amp;VAR:KEY=KVEJEFQVSB&amp;VAR:QUERY=KChGRl9ERUJUKFFUUiwwKUBGRl9ERUJUKFNFTUksMCkpQEZGX0RFQlQoQU5OLDApKQ==&amp;WINDOW=FIRST_POP","UP&amp;HEIGHT=450&amp;WIDTH=450&amp;START_MAXIMIZED=FALSE&amp;VAR:CALENDAR=FIVEDAY&amp;VAR:INDEX=0"}</definedName>
    <definedName name="_25__FDSAUDITLINK__" hidden="1">{"fdsup://directions/FAT Viewer?action=UPDATE&amp;creator=factset&amp;DYN_ARGS=TRUE&amp;DOC_NAME=FAT:FQL_AUDITING_CLIENT_TEMPLATE.FAT&amp;display_string=Audit&amp;VAR:KEY=WRYZIZKPSN&amp;VAR:QUERY=RkZfREVCVChRVFIsMCk=&amp;WINDOW=FIRST_POPUP&amp;HEIGHT=450&amp;WIDTH=450&amp;START_MAXIMIZED=FALSE&amp;VA","R:CALENDAR=FIVEDAY&amp;VAR:SYMBOL=625822&amp;VAR:INDEX=0"}</definedName>
    <definedName name="_25__FDSAUDITLINK___1" hidden="1">{"fdsup://directions/FAT Viewer?action=UPDATE&amp;creator=factset&amp;DYN_ARGS=TRUE&amp;DOC_NAME=FAT:FQL_AUDITING_CLIENT_TEMPLATE.FAT&amp;display_string=Audit&amp;VAR:KEY=WRYZIZKPSN&amp;VAR:QUERY=RkZfREVCVChRVFIsMCk=&amp;WINDOW=FIRST_POPUP&amp;HEIGHT=450&amp;WIDTH=450&amp;START_MAXIMIZED=FALSE&amp;VA","R:CALENDAR=FIVEDAY&amp;VAR:SYMBOL=625822&amp;VAR:INDEX=0"}</definedName>
    <definedName name="_253__123Graph_BCHART_11" hidden="1">#REF!</definedName>
    <definedName name="_254__123Graph_BCHART_12" hidden="1">#REF!</definedName>
    <definedName name="_257__123Graph_BCHART_13" hidden="1">#REF!</definedName>
    <definedName name="_258__123Graph_BCHART_15" hidden="1">#REF!</definedName>
    <definedName name="_259__123Graph_BCHART_16" hidden="1">#REF!</definedName>
    <definedName name="_26__FDSAUDITLINK__" hidden="1">{"fdsup://directions/FAT Viewer?action=UPDATE&amp;creator=factset&amp;DYN_ARGS=TRUE&amp;DOC_NAME=FAT:FQL_AUDITING_CLIENT_TEMPLATE.FAT&amp;display_string=Audit&amp;VAR:KEY=AHUFWRONWX&amp;VAR:QUERY=RkZfREVCVF9MVChRVFIsMCk=&amp;WINDOW=FIRST_POPUP&amp;HEIGHT=450&amp;WIDTH=450&amp;START_MAXIMIZED=FALS","E&amp;VAR:CALENDAR=FIVEDAY&amp;VAR:SYMBOL=625822&amp;VAR:INDEX=0"}</definedName>
    <definedName name="_26__FDSAUDITLINK___1" hidden="1">{"fdsup://directions/FAT Viewer?action=UPDATE&amp;creator=factset&amp;DYN_ARGS=TRUE&amp;DOC_NAME=FAT:FQL_AUDITING_CLIENT_TEMPLATE.FAT&amp;display_string=Audit&amp;VAR:KEY=AHUFWRONWX&amp;VAR:QUERY=RkZfREVCVF9MVChRVFIsMCk=&amp;WINDOW=FIRST_POPUP&amp;HEIGHT=450&amp;WIDTH=450&amp;START_MAXIMIZED=FALS","E&amp;VAR:CALENDAR=FIVEDAY&amp;VAR:SYMBOL=625822&amp;VAR:INDEX=0"}</definedName>
    <definedName name="_27__FDSAUDITLINK__" hidden="1">{"fdsup://directions/FAT Viewer?action=UPDATE&amp;creator=factset&amp;DYN_ARGS=TRUE&amp;DOC_NAME=FAT:FQL_AUDITING_CLIENT_TEMPLATE.FAT&amp;display_string=Audit&amp;VAR:KEY=KVEJEFQVSB&amp;VAR:QUERY=KChGRl9ERUJUKFFUUiwwKUBGRl9ERUJUKFNFTUksMCkpQEZGX0RFQlQoQU5OLDApKQ==&amp;WINDOW=FIRST_POP","UP&amp;HEIGHT=450&amp;WIDTH=450&amp;START_MAXIMIZED=FALSE&amp;VAR:CALENDAR=FIVEDAY&amp;VAR:INDEX=0"}</definedName>
    <definedName name="_27__FDSAUDITLINK___1" hidden="1">{"fdsup://directions/FAT Viewer?action=UPDATE&amp;creator=factset&amp;DYN_ARGS=TRUE&amp;DOC_NAME=FAT:FQL_AUDITING_CLIENT_TEMPLATE.FAT&amp;display_string=Audit&amp;VAR:KEY=KVEJEFQVSB&amp;VAR:QUERY=KChGRl9ERUJUKFFUUiwwKUBGRl9ERUJUKFNFTUksMCkpQEZGX0RFQlQoQU5OLDApKQ==&amp;WINDOW=FIRST_POP","UP&amp;HEIGHT=450&amp;WIDTH=450&amp;START_MAXIMIZED=FALSE&amp;VAR:CALENDAR=FIVEDAY&amp;VAR:INDEX=0"}</definedName>
    <definedName name="_273__123Graph_BCHART_13" hidden="1">#REF!</definedName>
    <definedName name="_273__123Graph_BCHART_2" hidden="1">#REF!</definedName>
    <definedName name="_274__123Graph_BCHART_15" hidden="1">#REF!</definedName>
    <definedName name="_275__123Graph_BCHART_16" hidden="1">#REF!</definedName>
    <definedName name="_28__123Graph_ACHART_10" hidden="1">#REF!</definedName>
    <definedName name="_28__FDSAUDITLINK__" hidden="1">{"fdsup://Directions/FactSet Auditing Viewer?action=AUDIT_VALUE&amp;DB=129&amp;ID1=B4WXN8&amp;VALUEID=02001&amp;SDATE=201101&amp;PERIODTYPE=SEMI_STD&amp;window=popup_no_bar&amp;width=385&amp;height=120&amp;START_MAXIMIZED=FALSE&amp;creator=factset&amp;display_string=Audit"}</definedName>
    <definedName name="_28__FDSAUDITLINK___1" hidden="1">{"fdsup://Directions/FactSet Auditing Viewer?action=AUDIT_VALUE&amp;DB=129&amp;ID1=B4WXN8&amp;VALUEID=02001&amp;SDATE=201101&amp;PERIODTYPE=SEMI_STD&amp;window=popup_no_bar&amp;width=385&amp;height=120&amp;START_MAXIMIZED=FALSE&amp;creator=factset&amp;display_string=Audit"}</definedName>
    <definedName name="_287__123Graph_BCHART_3" hidden="1">#REF!</definedName>
    <definedName name="_288__123Graph_BCHART_30" hidden="1">#REF!</definedName>
    <definedName name="_289__123Graph_BCHART_31" hidden="1">#REF!</definedName>
    <definedName name="_290__123Graph_BCHART_2" hidden="1">#REF!</definedName>
    <definedName name="_290__123Graph_BCHART_35" hidden="1">#REF!</definedName>
    <definedName name="_3__FDSAUDITLINK__" hidden="1">{"fdsup://Directions/FactSet Auditing Viewer?action=AUDIT_VALUE&amp;DB=129&amp;ID1=605991&amp;VALUEID=03426&amp;SDATE=201101&amp;PERIODTYPE=SEMI_STD&amp;window=popup_no_bar&amp;width=385&amp;height=120&amp;START_MAXIMIZED=FALSE&amp;creator=factset&amp;display_string=Audit"}</definedName>
    <definedName name="_3__FDSAUDITLINK___1" hidden="1">{"fdsup://Directions/FactSet Auditing Viewer?action=AUDIT_VALUE&amp;DB=129&amp;ID1=605991&amp;VALUEID=03426&amp;SDATE=201101&amp;PERIODTYPE=SEMI_STD&amp;window=popup_no_bar&amp;width=385&amp;height=120&amp;START_MAXIMIZED=FALSE&amp;creator=factset&amp;display_string=Audit"}</definedName>
    <definedName name="_30__123Graph_ACHART_10" hidden="1">#REF!</definedName>
    <definedName name="_304__123Graph_BCHART_4" hidden="1">#REF!</definedName>
    <definedName name="_305__123Graph_BCHART_3" hidden="1">#REF!</definedName>
    <definedName name="_305__FDSAUDITLINK__" hidden="1">{"fdsup://Directions/FactSet Auditing Viewer?action=AUDIT_VALUE&amp;DB=129&amp;ID1=622010&amp;VALUEID=03426&amp;SDATE=201002&amp;PERIODTYPE=SEMI_STD&amp;window=popup_no_bar&amp;width=385&amp;height=120&amp;START_MAXIMIZED=FALSE&amp;creator=factset&amp;display_string=Audit"}</definedName>
    <definedName name="_305__FDSAUDITLINK___1" hidden="1">{"fdsup://Directions/FactSet Auditing Viewer?action=AUDIT_VALUE&amp;DB=129&amp;ID1=622010&amp;VALUEID=03426&amp;SDATE=201002&amp;PERIODTYPE=SEMI_STD&amp;window=popup_no_bar&amp;width=385&amp;height=120&amp;START_MAXIMIZED=FALSE&amp;creator=factset&amp;display_string=Audit"}</definedName>
    <definedName name="_306__123Graph_BCHART_30" hidden="1">#REF!</definedName>
    <definedName name="_306__FDSAUDITLINK__" hidden="1">{"fdsup://directions/FAT Viewer?action=UPDATE&amp;creator=factset&amp;DYN_ARGS=TRUE&amp;DOC_NAME=FAT:FQL_AUDITING_CLIENT_TEMPLATE.FAT&amp;display_string=Audit&amp;VAR:KEY=ANEXUFGXYV&amp;VAR:QUERY=KChGRl9ERUJUX0xUKFFUUiwwKUBGRl9ERUJUX0xUKFNFTUksMCkpQEZGX0RFQlRfTFQoQU5OLDApKQ==&amp;WIND","OW=FIRST_POPUP&amp;HEIGHT=450&amp;WIDTH=450&amp;START_MAXIMIZED=FALSE&amp;VAR:CALENDAR=FIVEDAY&amp;VAR:SYMBOL=616495&amp;VAR:INDEX=0"}</definedName>
    <definedName name="_306__FDSAUDITLINK___1" hidden="1">{"fdsup://directions/FAT Viewer?action=UPDATE&amp;creator=factset&amp;DYN_ARGS=TRUE&amp;DOC_NAME=FAT:FQL_AUDITING_CLIENT_TEMPLATE.FAT&amp;display_string=Audit&amp;VAR:KEY=ANEXUFGXYV&amp;VAR:QUERY=KChGRl9ERUJUX0xUKFFUUiwwKUBGRl9ERUJUX0xUKFNFTUksMCkpQEZGX0RFQlRfTFQoQU5OLDApKQ==&amp;WIND","OW=FIRST_POPUP&amp;HEIGHT=450&amp;WIDTH=450&amp;START_MAXIMIZED=FALSE&amp;VAR:CALENDAR=FIVEDAY&amp;VAR:SYMBOL=616495&amp;VAR:INDEX=0"}</definedName>
    <definedName name="_307__123Graph_BCHART_31" hidden="1">#REF!</definedName>
    <definedName name="_307__FDSAUDITLINK__" hidden="1">{"fdsup://directions/FAT Viewer?action=UPDATE&amp;creator=factset&amp;DYN_ARGS=TRUE&amp;DOC_NAME=FAT:FQL_AUDITING_CLIENT_TEMPLATE.FAT&amp;display_string=Audit&amp;VAR:KEY=AVIXQZGHET&amp;VAR:QUERY=KChGRl9ERUJUX0xUKFFUUiwwKUBGRl9ERUJUX0xUKFNFTUksMCkpQEZGX0RFQlRfTFQoQU5OLDApKQ==&amp;WIND","OW=FIRST_POPUP&amp;HEIGHT=450&amp;WIDTH=450&amp;START_MAXIMIZED=FALSE&amp;VAR:CALENDAR=FIVEDAY&amp;VAR:SYMBOL=609128&amp;VAR:INDEX=0"}</definedName>
    <definedName name="_307__FDSAUDITLINK___1" hidden="1">{"fdsup://directions/FAT Viewer?action=UPDATE&amp;creator=factset&amp;DYN_ARGS=TRUE&amp;DOC_NAME=FAT:FQL_AUDITING_CLIENT_TEMPLATE.FAT&amp;display_string=Audit&amp;VAR:KEY=AVIXQZGHET&amp;VAR:QUERY=KChGRl9ERUJUX0xUKFFUUiwwKUBGRl9ERUJUX0xUKFNFTUksMCkpQEZGX0RFQlRfTFQoQU5OLDApKQ==&amp;WIND","OW=FIRST_POPUP&amp;HEIGHT=450&amp;WIDTH=450&amp;START_MAXIMIZED=FALSE&amp;VAR:CALENDAR=FIVEDAY&amp;VAR:SYMBOL=609128&amp;VAR:INDEX=0"}</definedName>
    <definedName name="_308__123Graph_BCHART_35" hidden="1">#REF!</definedName>
    <definedName name="_308__FDSAUDITLINK__" hidden="1">{"fdsup://Directions/FactSet Auditing Viewer?action=AUDIT_VALUE&amp;DB=129&amp;ID1=618041&amp;VALUEID=03426&amp;SDATE=201101&amp;PERIODTYPE=SEMI_STD&amp;SCFT=3&amp;window=popup_no_bar&amp;width=385&amp;height=120&amp;START_MAXIMIZED=FALSE&amp;creator=factset&amp;display_string=Audit"}</definedName>
    <definedName name="_308__FDSAUDITLINK___1" hidden="1">{"fdsup://Directions/FactSet Auditing Viewer?action=AUDIT_VALUE&amp;DB=129&amp;ID1=618041&amp;VALUEID=03426&amp;SDATE=201101&amp;PERIODTYPE=SEMI_STD&amp;SCFT=3&amp;window=popup_no_bar&amp;width=385&amp;height=120&amp;START_MAXIMIZED=FALSE&amp;creator=factset&amp;display_string=Audit"}</definedName>
    <definedName name="_309__FDSAUDITLINK__" hidden="1">{"fdsup://Directions/FactSet Auditing Viewer?action=AUDIT_VALUE&amp;DB=129&amp;ID1=B1Y9TB&amp;VALUEID=02001&amp;SDATE=201002&amp;PERIODTYPE=SEMI_STD&amp;SCFT=3&amp;window=popup_no_bar&amp;width=385&amp;height=120&amp;START_MAXIMIZED=FALSE&amp;creator=factset&amp;display_string=Audit"}</definedName>
    <definedName name="_309__FDSAUDITLINK___1" hidden="1">{"fdsup://Directions/FactSet Auditing Viewer?action=AUDIT_VALUE&amp;DB=129&amp;ID1=B1Y9TB&amp;VALUEID=02001&amp;SDATE=201002&amp;PERIODTYPE=SEMI_STD&amp;SCFT=3&amp;window=popup_no_bar&amp;width=385&amp;height=120&amp;START_MAXIMIZED=FALSE&amp;creator=factset&amp;display_string=Audit"}</definedName>
    <definedName name="_310__FDSAUDITLINK__" hidden="1">{"fdsup://Directions/FactSet Auditing Viewer?action=AUDIT_VALUE&amp;DB=129&amp;ID1=673973&amp;VALUEID=02001&amp;SDATE=201101&amp;PERIODTYPE=SEMI_STD&amp;SCFT=3&amp;window=popup_no_bar&amp;width=385&amp;height=120&amp;START_MAXIMIZED=FALSE&amp;creator=factset&amp;display_string=Audit"}</definedName>
    <definedName name="_310__FDSAUDITLINK___1" hidden="1">{"fdsup://Directions/FactSet Auditing Viewer?action=AUDIT_VALUE&amp;DB=129&amp;ID1=673973&amp;VALUEID=02001&amp;SDATE=201101&amp;PERIODTYPE=SEMI_STD&amp;SCFT=3&amp;window=popup_no_bar&amp;width=385&amp;height=120&amp;START_MAXIMIZED=FALSE&amp;creator=factset&amp;display_string=Audit"}</definedName>
    <definedName name="_311__FDSAUDITLINK__" hidden="1">{"fdsup://Directions/FactSet Auditing Viewer?action=AUDIT_VALUE&amp;DB=129&amp;ID1=B4WXN8&amp;VALUEID=03426&amp;SDATE=201101&amp;PERIODTYPE=SEMI_STD&amp;SCFT=3&amp;window=popup_no_bar&amp;width=385&amp;height=120&amp;START_MAXIMIZED=FALSE&amp;creator=factset&amp;display_string=Audit"}</definedName>
    <definedName name="_311__FDSAUDITLINK___1" hidden="1">{"fdsup://Directions/FactSet Auditing Viewer?action=AUDIT_VALUE&amp;DB=129&amp;ID1=B4WXN8&amp;VALUEID=03426&amp;SDATE=201101&amp;PERIODTYPE=SEMI_STD&amp;SCFT=3&amp;window=popup_no_bar&amp;width=385&amp;height=120&amp;START_MAXIMIZED=FALSE&amp;creator=factset&amp;display_string=Audit"}</definedName>
    <definedName name="_312__FDSAUDITLINK__" hidden="1">{"fdsup://Directions/FactSet Auditing Viewer?action=AUDIT_VALUE&amp;DB=129&amp;ID1=649273&amp;VALUEID=02001&amp;SDATE=201101&amp;PERIODTYPE=SEMI_STD&amp;SCFT=3&amp;window=popup_no_bar&amp;width=385&amp;height=120&amp;START_MAXIMIZED=FALSE&amp;creator=factset&amp;display_string=Audit"}</definedName>
    <definedName name="_312__FDSAUDITLINK___1" hidden="1">{"fdsup://Directions/FactSet Auditing Viewer?action=AUDIT_VALUE&amp;DB=129&amp;ID1=649273&amp;VALUEID=02001&amp;SDATE=201101&amp;PERIODTYPE=SEMI_STD&amp;SCFT=3&amp;window=popup_no_bar&amp;width=385&amp;height=120&amp;START_MAXIMIZED=FALSE&amp;creator=factset&amp;display_string=Audit"}</definedName>
    <definedName name="_313__FDSAUDITLINK__" hidden="1">{"fdsup://Directions/FactSet Auditing Viewer?action=AUDIT_VALUE&amp;DB=129&amp;ID1=647654&amp;VALUEID=02001&amp;SDATE=201101&amp;PERIODTYPE=SEMI_STD&amp;SCFT=3&amp;window=popup_no_bar&amp;width=385&amp;height=120&amp;START_MAXIMIZED=FALSE&amp;creator=factset&amp;display_string=Audit"}</definedName>
    <definedName name="_313__FDSAUDITLINK___1" hidden="1">{"fdsup://Directions/FactSet Auditing Viewer?action=AUDIT_VALUE&amp;DB=129&amp;ID1=647654&amp;VALUEID=02001&amp;SDATE=201101&amp;PERIODTYPE=SEMI_STD&amp;SCFT=3&amp;window=popup_no_bar&amp;width=385&amp;height=120&amp;START_MAXIMIZED=FALSE&amp;creator=factset&amp;display_string=Audit"}</definedName>
    <definedName name="_315__FDSAUDITLINK__" hidden="1">{"fdsup://Directions/FactSet Auditing Viewer?action=AUDIT_VALUE&amp;DB=129&amp;ID1=605991&amp;VALUEID=02001&amp;SDATE=201101&amp;PERIODTYPE=SEMI_STD&amp;SCFT=3&amp;window=popup_no_bar&amp;width=385&amp;height=120&amp;START_MAXIMIZED=FALSE&amp;creator=factset&amp;display_string=Audit"}</definedName>
    <definedName name="_315__FDSAUDITLINK___1" hidden="1">{"fdsup://Directions/FactSet Auditing Viewer?action=AUDIT_VALUE&amp;DB=129&amp;ID1=605991&amp;VALUEID=02001&amp;SDATE=201101&amp;PERIODTYPE=SEMI_STD&amp;SCFT=3&amp;window=popup_no_bar&amp;width=385&amp;height=120&amp;START_MAXIMIZED=FALSE&amp;creator=factset&amp;display_string=Audit"}</definedName>
    <definedName name="_317__FDSAUDITLINK__" hidden="1">{"fdsup://Directions/FactSet Auditing Viewer?action=AUDIT_VALUE&amp;DB=129&amp;ID1=B0736T&amp;VALUEID=02001&amp;SDATE=201101&amp;PERIODTYPE=SEMI_STD&amp;SCFT=3&amp;window=popup_no_bar&amp;width=385&amp;height=120&amp;START_MAXIMIZED=FALSE&amp;creator=factset&amp;display_string=Audit"}</definedName>
    <definedName name="_317__FDSAUDITLINK___1" hidden="1">{"fdsup://Directions/FactSet Auditing Viewer?action=AUDIT_VALUE&amp;DB=129&amp;ID1=B0736T&amp;VALUEID=02001&amp;SDATE=201101&amp;PERIODTYPE=SEMI_STD&amp;SCFT=3&amp;window=popup_no_bar&amp;width=385&amp;height=120&amp;START_MAXIMIZED=FALSE&amp;creator=factset&amp;display_string=Audit"}</definedName>
    <definedName name="_318__123Graph_BCHART_5" hidden="1">#REF!</definedName>
    <definedName name="_319__FDSAUDITLINK__" hidden="1">{"fdsup://Directions/FactSet Auditing Viewer?action=AUDIT_VALUE&amp;DB=129&amp;ID1=608820&amp;VALUEID=02001&amp;SDATE=201101&amp;PERIODTYPE=SEMI_STD&amp;SCFT=3&amp;window=popup_no_bar&amp;width=385&amp;height=120&amp;START_MAXIMIZED=FALSE&amp;creator=factset&amp;display_string=Audit"}</definedName>
    <definedName name="_319__FDSAUDITLINK___1" hidden="1">{"fdsup://Directions/FactSet Auditing Viewer?action=AUDIT_VALUE&amp;DB=129&amp;ID1=608820&amp;VALUEID=02001&amp;SDATE=201101&amp;PERIODTYPE=SEMI_STD&amp;SCFT=3&amp;window=popup_no_bar&amp;width=385&amp;height=120&amp;START_MAXIMIZED=FALSE&amp;creator=factset&amp;display_string=Audit"}</definedName>
    <definedName name="_320__FDSAUDITLINK__" hidden="1">{"fdsup://Directions/FactSet Auditing Viewer?action=AUDIT_VALUE&amp;DB=129&amp;ID1=622010&amp;VALUEID=03426&amp;SDATE=201002&amp;PERIODTYPE=SEMI_STD&amp;SCFT=3&amp;window=popup_no_bar&amp;width=385&amp;height=120&amp;START_MAXIMIZED=FALSE&amp;creator=factset&amp;display_string=Audit"}</definedName>
    <definedName name="_320__FDSAUDITLINK___1" hidden="1">{"fdsup://Directions/FactSet Auditing Viewer?action=AUDIT_VALUE&amp;DB=129&amp;ID1=622010&amp;VALUEID=03426&amp;SDATE=201002&amp;PERIODTYPE=SEMI_STD&amp;SCFT=3&amp;window=popup_no_bar&amp;width=385&amp;height=120&amp;START_MAXIMIZED=FALSE&amp;creator=factset&amp;display_string=Audit"}</definedName>
    <definedName name="_321__FDSAUDITLINK__" hidden="1">{"fdsup://directions/FAT Viewer?action=UPDATE&amp;creator=factset&amp;DYN_ARGS=TRUE&amp;DOC_NAME=FAT:FQL_AUDITING_CLIENT_TEMPLATE.FAT&amp;display_string=Audit&amp;VAR:KEY=OLOPGHWHAP&amp;VAR:QUERY=KChGRl9ERUJUX0xUKFFUUiwwLCwsLEFVRClARkZfREVCVF9MVChTRU1JLDAsLCwsQVVEKSlARkZfREVCVF9MV","ChBTk4sMCwsLCxBVUQpKQ==&amp;WINDOW=FIRST_POPUP&amp;HEIGHT=450&amp;WIDTH=450&amp;START_MAXIMIZED=FALSE&amp;VAR:CALENDAR=FIVEDAY&amp;VAR:SYMBOL=606355&amp;VAR:INDEX=0"}</definedName>
    <definedName name="_321__FDSAUDITLINK___1" hidden="1">{"fdsup://directions/FAT Viewer?action=UPDATE&amp;creator=factset&amp;DYN_ARGS=TRUE&amp;DOC_NAME=FAT:FQL_AUDITING_CLIENT_TEMPLATE.FAT&amp;display_string=Audit&amp;VAR:KEY=OLOPGHWHAP&amp;VAR:QUERY=KChGRl9ERUJUX0xUKFFUUiwwLCwsLEFVRClARkZfREVCVF9MVChTRU1JLDAsLCwsQVVEKSlARkZfREVCVF9MV","ChBTk4sMCwsLCxBVUQpKQ==&amp;WINDOW=FIRST_POPUP&amp;HEIGHT=450&amp;WIDTH=450&amp;START_MAXIMIZED=FALSE&amp;VAR:CALENDAR=FIVEDAY&amp;VAR:SYMBOL=606355&amp;VAR:INDEX=0"}</definedName>
    <definedName name="_322__FDSAUDITLINK__" hidden="1">{"fdsup://Directions/FactSet Auditing Viewer?action=AUDIT_VALUE&amp;DB=129&amp;ID1=B013SX&amp;VALUEID=02001&amp;SDATE=201101&amp;PERIODTYPE=SEMI_STD&amp;SCFT=3&amp;window=popup_no_bar&amp;width=385&amp;height=120&amp;START_MAXIMIZED=FALSE&amp;creator=factset&amp;display_string=Audit"}</definedName>
    <definedName name="_322__FDSAUDITLINK___1" hidden="1">{"fdsup://Directions/FactSet Auditing Viewer?action=AUDIT_VALUE&amp;DB=129&amp;ID1=B013SX&amp;VALUEID=02001&amp;SDATE=201101&amp;PERIODTYPE=SEMI_STD&amp;SCFT=3&amp;window=popup_no_bar&amp;width=385&amp;height=120&amp;START_MAXIMIZED=FALSE&amp;creator=factset&amp;display_string=Audit"}</definedName>
    <definedName name="_323__123Graph_BCHART_4" hidden="1">#REF!</definedName>
    <definedName name="_323__FDSAUDITLINK__" hidden="1">{"fdsup://Directions/FactSet Auditing Viewer?action=AUDIT_VALUE&amp;DB=129&amp;ID1=616495&amp;VALUEID=02001&amp;SDATE=201002&amp;PERIODTYPE=SEMI_STD&amp;SCFT=3&amp;window=popup_no_bar&amp;width=385&amp;height=120&amp;START_MAXIMIZED=FALSE&amp;creator=factset&amp;display_string=Audit"}</definedName>
    <definedName name="_323__FDSAUDITLINK___1" hidden="1">{"fdsup://Directions/FactSet Auditing Viewer?action=AUDIT_VALUE&amp;DB=129&amp;ID1=616495&amp;VALUEID=02001&amp;SDATE=201002&amp;PERIODTYPE=SEMI_STD&amp;SCFT=3&amp;window=popup_no_bar&amp;width=385&amp;height=120&amp;START_MAXIMIZED=FALSE&amp;creator=factset&amp;display_string=Audit"}</definedName>
    <definedName name="_325__FDSAUDITLINK__" hidden="1">{"fdsup://Directions/FactSet Auditing Viewer?action=AUDIT_VALUE&amp;DB=129&amp;ID1=620569&amp;VALUEID=02001&amp;SDATE=201101&amp;PERIODTYPE=SEMI_STD&amp;SCFT=3&amp;window=popup_no_bar&amp;width=385&amp;height=120&amp;START_MAXIMIZED=FALSE&amp;creator=factset&amp;display_string=Audit"}</definedName>
    <definedName name="_325__FDSAUDITLINK___1" hidden="1">{"fdsup://Directions/FactSet Auditing Viewer?action=AUDIT_VALUE&amp;DB=129&amp;ID1=620569&amp;VALUEID=02001&amp;SDATE=201101&amp;PERIODTYPE=SEMI_STD&amp;SCFT=3&amp;window=popup_no_bar&amp;width=385&amp;height=120&amp;START_MAXIMIZED=FALSE&amp;creator=factset&amp;display_string=Audit"}</definedName>
    <definedName name="_326__FDSAUDITLINK__" hidden="1">{"fdsup://Directions/FactSet Auditing Viewer?action=AUDIT_VALUE&amp;DB=129&amp;ID1=660047&amp;VALUEID=02001&amp;SDATE=201101&amp;PERIODTYPE=SEMI_STD&amp;SCFT=3&amp;window=popup_no_bar&amp;width=385&amp;height=120&amp;START_MAXIMIZED=FALSE&amp;creator=factset&amp;display_string=Audit"}</definedName>
    <definedName name="_326__FDSAUDITLINK___1" hidden="1">{"fdsup://Directions/FactSet Auditing Viewer?action=AUDIT_VALUE&amp;DB=129&amp;ID1=660047&amp;VALUEID=02001&amp;SDATE=201101&amp;PERIODTYPE=SEMI_STD&amp;SCFT=3&amp;window=popup_no_bar&amp;width=385&amp;height=120&amp;START_MAXIMIZED=FALSE&amp;creator=factset&amp;display_string=Audit"}</definedName>
    <definedName name="_328__FDSAUDITLINK__" hidden="1">{"fdsup://Directions/FactSet Auditing Viewer?action=AUDIT_VALUE&amp;DB=129&amp;ID1=611776&amp;VALUEID=02001&amp;SDATE=201101&amp;PERIODTYPE=SEMI_STD&amp;SCFT=3&amp;window=popup_no_bar&amp;width=385&amp;height=120&amp;START_MAXIMIZED=FALSE&amp;creator=factset&amp;display_string=Audit"}</definedName>
    <definedName name="_328__FDSAUDITLINK___1" hidden="1">{"fdsup://Directions/FactSet Auditing Viewer?action=AUDIT_VALUE&amp;DB=129&amp;ID1=611776&amp;VALUEID=02001&amp;SDATE=201101&amp;PERIODTYPE=SEMI_STD&amp;SCFT=3&amp;window=popup_no_bar&amp;width=385&amp;height=120&amp;START_MAXIMIZED=FALSE&amp;creator=factset&amp;display_string=Audit"}</definedName>
    <definedName name="_330__FDSAUDITLINK__" hidden="1">{"fdsup://Directions/FactSet Auditing Viewer?action=AUDIT_VALUE&amp;DB=129&amp;ID1=600346&amp;VALUEID=02001&amp;SDATE=201002&amp;PERIODTYPE=SEMI_STD&amp;SCFT=3&amp;window=popup_no_bar&amp;width=385&amp;height=120&amp;START_MAXIMIZED=FALSE&amp;creator=factset&amp;display_string=Audit"}</definedName>
    <definedName name="_330__FDSAUDITLINK___1" hidden="1">{"fdsup://Directions/FactSet Auditing Viewer?action=AUDIT_VALUE&amp;DB=129&amp;ID1=600346&amp;VALUEID=02001&amp;SDATE=201002&amp;PERIODTYPE=SEMI_STD&amp;SCFT=3&amp;window=popup_no_bar&amp;width=385&amp;height=120&amp;START_MAXIMIZED=FALSE&amp;creator=factset&amp;display_string=Audit"}</definedName>
    <definedName name="_332__123Graph_BCHART_6" hidden="1">#REF!</definedName>
    <definedName name="_332__FDSAUDITLINK__" hidden="1">{"fdsup://Directions/FactSet Auditing Viewer?action=AUDIT_VALUE&amp;DB=129&amp;ID1=627791&amp;VALUEID=02001&amp;SDATE=201101&amp;PERIODTYPE=SEMI_STD&amp;SCFT=3&amp;window=popup_no_bar&amp;width=385&amp;height=120&amp;START_MAXIMIZED=FALSE&amp;creator=factset&amp;display_string=Audit"}</definedName>
    <definedName name="_332__FDSAUDITLINK___1" hidden="1">{"fdsup://Directions/FactSet Auditing Viewer?action=AUDIT_VALUE&amp;DB=129&amp;ID1=627791&amp;VALUEID=02001&amp;SDATE=201101&amp;PERIODTYPE=SEMI_STD&amp;SCFT=3&amp;window=popup_no_bar&amp;width=385&amp;height=120&amp;START_MAXIMIZED=FALSE&amp;creator=factset&amp;display_string=Audit"}</definedName>
    <definedName name="_333__123Graph_BCHART_62" hidden="1">#REF!</definedName>
    <definedName name="_333__FDSAUDITLINK__" hidden="1">{"fdsup://Directions/FactSet Auditing Viewer?action=AUDIT_VALUE&amp;DB=129&amp;ID1=B04C8F&amp;VALUEID=02001&amp;SDATE=201101&amp;PERIODTYPE=SEMI_STD&amp;SCFT=3&amp;window=popup_no_bar&amp;width=385&amp;height=120&amp;START_MAXIMIZED=FALSE&amp;creator=factset&amp;display_string=Audit"}</definedName>
    <definedName name="_333__FDSAUDITLINK___1" hidden="1">{"fdsup://Directions/FactSet Auditing Viewer?action=AUDIT_VALUE&amp;DB=129&amp;ID1=B04C8F&amp;VALUEID=02001&amp;SDATE=201101&amp;PERIODTYPE=SEMI_STD&amp;SCFT=3&amp;window=popup_no_bar&amp;width=385&amp;height=120&amp;START_MAXIMIZED=FALSE&amp;creator=factset&amp;display_string=Audit"}</definedName>
    <definedName name="_334__123Graph_BCHART_66" hidden="1">#REF!</definedName>
    <definedName name="_335__123Graph_BCHART_68" hidden="1">#REF!</definedName>
    <definedName name="_335__FDSAUDITLINK__" hidden="1">{"fdsup://Directions/FactSet Auditing Viewer?action=AUDIT_VALUE&amp;DB=129&amp;ID1=646707&amp;VALUEID=02001&amp;SDATE=201101&amp;PERIODTYPE=SEMI_STD&amp;SCFT=3&amp;window=popup_no_bar&amp;width=385&amp;height=120&amp;START_MAXIMIZED=FALSE&amp;creator=factset&amp;display_string=Audit"}</definedName>
    <definedName name="_335__FDSAUDITLINK___1" hidden="1">{"fdsup://Directions/FactSet Auditing Viewer?action=AUDIT_VALUE&amp;DB=129&amp;ID1=646707&amp;VALUEID=02001&amp;SDATE=201101&amp;PERIODTYPE=SEMI_STD&amp;SCFT=3&amp;window=popup_no_bar&amp;width=385&amp;height=120&amp;START_MAXIMIZED=FALSE&amp;creator=factset&amp;display_string=Audit"}</definedName>
    <definedName name="_336__123Graph_BCHART_69" hidden="1">#REF!</definedName>
    <definedName name="_337__FDSAUDITLINK__" hidden="1">{"fdsup://Directions/FactSet Auditing Viewer?action=AUDIT_VALUE&amp;DB=129&amp;ID1=629372&amp;VALUEID=02001&amp;SDATE=201101&amp;PERIODTYPE=SEMI_STD&amp;SCFT=3&amp;window=popup_no_bar&amp;width=385&amp;height=120&amp;START_MAXIMIZED=FALSE&amp;creator=factset&amp;display_string=Audit"}</definedName>
    <definedName name="_337__FDSAUDITLINK___1" hidden="1">{"fdsup://Directions/FactSet Auditing Viewer?action=AUDIT_VALUE&amp;DB=129&amp;ID1=629372&amp;VALUEID=02001&amp;SDATE=201101&amp;PERIODTYPE=SEMI_STD&amp;SCFT=3&amp;window=popup_no_bar&amp;width=385&amp;height=120&amp;START_MAXIMIZED=FALSE&amp;creator=factset&amp;display_string=Audit"}</definedName>
    <definedName name="_338__123Graph_BCHART_5" hidden="1">#REF!</definedName>
    <definedName name="_339__FDSAUDITLINK__" hidden="1">{"fdsup://Directions/FactSet Auditing Viewer?action=AUDIT_VALUE&amp;DB=129&amp;ID1=B0744W&amp;VALUEID=02001&amp;SDATE=201001&amp;PERIODTYPE=SEMI_STD&amp;SCFT=3&amp;window=popup_no_bar&amp;width=385&amp;height=120&amp;START_MAXIMIZED=FALSE&amp;creator=factset&amp;display_string=Audit"}</definedName>
    <definedName name="_339__FDSAUDITLINK___1" hidden="1">{"fdsup://Directions/FactSet Auditing Viewer?action=AUDIT_VALUE&amp;DB=129&amp;ID1=B0744W&amp;VALUEID=02001&amp;SDATE=201001&amp;PERIODTYPE=SEMI_STD&amp;SCFT=3&amp;window=popup_no_bar&amp;width=385&amp;height=120&amp;START_MAXIMIZED=FALSE&amp;creator=factset&amp;display_string=Audit"}</definedName>
    <definedName name="_34__FDSAUDITLINK__" hidden="1">{"fdsup://directions/FAT Viewer?action=UPDATE&amp;creator=factset&amp;DYN_ARGS=TRUE&amp;DOC_NAME=FAT:FQL_AUDITING_CLIENT_TEMPLATE.FAT&amp;display_string=Audit&amp;VAR:KEY=KVEJEFQVSB&amp;VAR:QUERY=KChGRl9ERUJUKFFUUiwwKUBGRl9ERUJUKFNFTUksMCkpQEZGX0RFQlQoQU5OLDApKQ==&amp;WINDOW=FIRST_POP","UP&amp;HEIGHT=450&amp;WIDTH=450&amp;START_MAXIMIZED=FALSE&amp;VAR:CALENDAR=FIVEDAY&amp;VAR:INDEX=0"}</definedName>
    <definedName name="_34__FDSAUDITLINK___1" hidden="1">{"fdsup://directions/FAT Viewer?action=UPDATE&amp;creator=factset&amp;DYN_ARGS=TRUE&amp;DOC_NAME=FAT:FQL_AUDITING_CLIENT_TEMPLATE.FAT&amp;display_string=Audit&amp;VAR:KEY=KVEJEFQVSB&amp;VAR:QUERY=KChGRl9ERUJUKFFUUiwwKUBGRl9ERUJUKFNFTUksMCkpQEZGX0RFQlQoQU5OLDApKQ==&amp;WINDOW=FIRST_POP","UP&amp;HEIGHT=450&amp;WIDTH=450&amp;START_MAXIMIZED=FALSE&amp;VAR:CALENDAR=FIVEDAY&amp;VAR:INDEX=0"}</definedName>
    <definedName name="_340__FDSAUDITLINK__" hidden="1">{"fdsup://Directions/FactSet Auditing Viewer?action=AUDIT_VALUE&amp;DB=129&amp;ID1=B0LCW7&amp;VALUEID=02001&amp;SDATE=201101&amp;PERIODTYPE=SEMI_STD&amp;SCFT=3&amp;window=popup_no_bar&amp;width=385&amp;height=120&amp;START_MAXIMIZED=FALSE&amp;creator=factset&amp;display_string=Audit"}</definedName>
    <definedName name="_340__FDSAUDITLINK___1" hidden="1">{"fdsup://Directions/FactSet Auditing Viewer?action=AUDIT_VALUE&amp;DB=129&amp;ID1=B0LCW7&amp;VALUEID=02001&amp;SDATE=201101&amp;PERIODTYPE=SEMI_STD&amp;SCFT=3&amp;window=popup_no_bar&amp;width=385&amp;height=120&amp;START_MAXIMIZED=FALSE&amp;creator=factset&amp;display_string=Audit"}</definedName>
    <definedName name="_342__FDSAUDITLINK__" hidden="1">{"fdsup://Directions/FactSet Auditing Viewer?action=AUDIT_VALUE&amp;DB=129&amp;ID1=B0LCW7&amp;VALUEID=02001&amp;SDATE=201101&amp;PERIODTYPE=SEMI_STD&amp;SCFT=3&amp;window=popup_no_bar&amp;width=385&amp;height=120&amp;START_MAXIMIZED=FALSE&amp;creator=factset&amp;display_string=Audit"}</definedName>
    <definedName name="_342__FDSAUDITLINK___1" hidden="1">{"fdsup://Directions/FactSet Auditing Viewer?action=AUDIT_VALUE&amp;DB=129&amp;ID1=B0LCW7&amp;VALUEID=02001&amp;SDATE=201101&amp;PERIODTYPE=SEMI_STD&amp;SCFT=3&amp;window=popup_no_bar&amp;width=385&amp;height=120&amp;START_MAXIMIZED=FALSE&amp;creator=factset&amp;display_string=Audit"}</definedName>
    <definedName name="_344__FDSAUDITLINK__" hidden="1">{"fdsup://Directions/FactSet Auditing Viewer?action=AUDIT_VALUE&amp;DB=129&amp;ID1=B4WXN8&amp;VALUEID=02001&amp;SDATE=201101&amp;PERIODTYPE=SEMI_STD&amp;SCFT=3&amp;window=popup_no_bar&amp;width=385&amp;height=120&amp;START_MAXIMIZED=FALSE&amp;creator=factset&amp;display_string=Audit"}</definedName>
    <definedName name="_344__FDSAUDITLINK___1" hidden="1">{"fdsup://Directions/FactSet Auditing Viewer?action=AUDIT_VALUE&amp;DB=129&amp;ID1=B4WXN8&amp;VALUEID=02001&amp;SDATE=201101&amp;PERIODTYPE=SEMI_STD&amp;SCFT=3&amp;window=popup_no_bar&amp;width=385&amp;height=120&amp;START_MAXIMIZED=FALSE&amp;creator=factset&amp;display_string=Audit"}</definedName>
    <definedName name="_345__FDSAUDITLINK__" hidden="1">{"fdsup://Directions/FactSet Auditing Viewer?action=AUDIT_VALUE&amp;DB=129&amp;ID1=B1PPRK&amp;VALUEID=02001&amp;SDATE=201002&amp;PERIODTYPE=SEMI_STD&amp;SCFT=3&amp;window=popup_no_bar&amp;width=385&amp;height=120&amp;START_MAXIMIZED=FALSE&amp;creator=factset&amp;display_string=Audit"}</definedName>
    <definedName name="_345__FDSAUDITLINK___1" hidden="1">{"fdsup://Directions/FactSet Auditing Viewer?action=AUDIT_VALUE&amp;DB=129&amp;ID1=B1PPRK&amp;VALUEID=02001&amp;SDATE=201002&amp;PERIODTYPE=SEMI_STD&amp;SCFT=3&amp;window=popup_no_bar&amp;width=385&amp;height=120&amp;START_MAXIMIZED=FALSE&amp;creator=factset&amp;display_string=Audit"}</definedName>
    <definedName name="_347__FDSAUDITLINK__" hidden="1">{"fdsup://Directions/FactSet Auditing Viewer?action=AUDIT_VALUE&amp;DB=129&amp;ID1=618041&amp;VALUEID=02001&amp;SDATE=201101&amp;PERIODTYPE=SEMI_STD&amp;SCFT=3&amp;window=popup_no_bar&amp;width=385&amp;height=120&amp;START_MAXIMIZED=FALSE&amp;creator=factset&amp;display_string=Audit"}</definedName>
    <definedName name="_347__FDSAUDITLINK___1" hidden="1">{"fdsup://Directions/FactSet Auditing Viewer?action=AUDIT_VALUE&amp;DB=129&amp;ID1=618041&amp;VALUEID=02001&amp;SDATE=201101&amp;PERIODTYPE=SEMI_STD&amp;SCFT=3&amp;window=popup_no_bar&amp;width=385&amp;height=120&amp;START_MAXIMIZED=FALSE&amp;creator=factset&amp;display_string=Audit"}</definedName>
    <definedName name="_349__FDSAUDITLINK__" hidden="1">{"fdsup://Directions/FactSet Auditing Viewer?action=AUDIT_VALUE&amp;DB=129&amp;ID1=622010&amp;VALUEID=02001&amp;SDATE=201002&amp;PERIODTYPE=SEMI_STD&amp;SCFT=3&amp;window=popup_no_bar&amp;width=385&amp;height=120&amp;START_MAXIMIZED=FALSE&amp;creator=factset&amp;display_string=Audit"}</definedName>
    <definedName name="_349__FDSAUDITLINK___1" hidden="1">{"fdsup://Directions/FactSet Auditing Viewer?action=AUDIT_VALUE&amp;DB=129&amp;ID1=622010&amp;VALUEID=02001&amp;SDATE=201002&amp;PERIODTYPE=SEMI_STD&amp;SCFT=3&amp;window=popup_no_bar&amp;width=385&amp;height=120&amp;START_MAXIMIZED=FALSE&amp;creator=factset&amp;display_string=Audit"}</definedName>
    <definedName name="_35__FDSAUDITLINK__" hidden="1">{"fdsup://Directions/FactSet Auditing Viewer?action=AUDIT_VALUE&amp;DB=129&amp;ID1=649273&amp;VALUEID=7033030900&amp;SDATE=201101&amp;PERIODTYPE=SEMI_DET&amp;window=popup_no_bar&amp;width=385&amp;height=120&amp;START_MAXIMIZED=FALSE&amp;creator=factset&amp;display_string=Audit"}</definedName>
    <definedName name="_35__FDSAUDITLINK___1" hidden="1">{"fdsup://Directions/FactSet Auditing Viewer?action=AUDIT_VALUE&amp;DB=129&amp;ID1=649273&amp;VALUEID=7033030900&amp;SDATE=201101&amp;PERIODTYPE=SEMI_DET&amp;window=popup_no_bar&amp;width=385&amp;height=120&amp;START_MAXIMIZED=FALSE&amp;creator=factset&amp;display_string=Audit"}</definedName>
    <definedName name="_350__FDSAUDITLINK__" hidden="1">{"fdsup://directions/FAT Viewer?action=UPDATE&amp;creator=factset&amp;DYN_ARGS=TRUE&amp;DOC_NAME=FAT:FQL_AUDITING_CLIENT_TEMPLATE.FAT&amp;display_string=Audit&amp;VAR:KEY=KVEJEFQVSB&amp;VAR:QUERY=KChGRl9ERUJUKFFUUiwwKUBGRl9ERUJUKFNFTUksMCkpQEZGX0RFQlQoQU5OLDApKQ==&amp;WINDOW=FIRST_POP","UP&amp;HEIGHT=450&amp;WIDTH=450&amp;START_MAXIMIZED=FALSE&amp;VAR:CALENDAR=FIVEDAY&amp;VAR:INDEX=0"}</definedName>
    <definedName name="_350__FDSAUDITLINK___1" hidden="1">{"fdsup://directions/FAT Viewer?action=UPDATE&amp;creator=factset&amp;DYN_ARGS=TRUE&amp;DOC_NAME=FAT:FQL_AUDITING_CLIENT_TEMPLATE.FAT&amp;display_string=Audit&amp;VAR:KEY=KVEJEFQVSB&amp;VAR:QUERY=KChGRl9ERUJUKFFUUiwwKUBGRl9ERUJUKFNFTUksMCkpQEZGX0RFQlQoQU5OLDApKQ==&amp;WINDOW=FIRST_POP","UP&amp;HEIGHT=450&amp;WIDTH=450&amp;START_MAXIMIZED=FALSE&amp;VAR:CALENDAR=FIVEDAY&amp;VAR:INDEX=0"}</definedName>
    <definedName name="_352__FDSAUDITLINK__" hidden="1">{"fdsup://directions/FAT Viewer?action=UPDATE&amp;creator=factset&amp;DYN_ARGS=TRUE&amp;DOC_NAME=FAT:FQL_AUDITING_CLIENT_TEMPLATE.FAT&amp;display_string=Audit&amp;VAR:KEY=BYXEHEXMBE&amp;VAR:QUERY=KChGRl9ERUJUKFFUUiwwLCwsLEFVRClARkZfREVCVChTRU1JLDAsLCwsQVVEKSlARkZfREVCVChBTk4sMCwsL","CxBVUQpKQ==&amp;WINDOW=FIRST_POPUP&amp;HEIGHT=450&amp;WIDTH=450&amp;START_MAXIMIZED=FALSE&amp;VAR:CALENDAR=FIVEDAY&amp;VAR:SYMBOL=605991&amp;VAR:INDEX=0"}</definedName>
    <definedName name="_352__FDSAUDITLINK___1" hidden="1">{"fdsup://directions/FAT Viewer?action=UPDATE&amp;creator=factset&amp;DYN_ARGS=TRUE&amp;DOC_NAME=FAT:FQL_AUDITING_CLIENT_TEMPLATE.FAT&amp;display_string=Audit&amp;VAR:KEY=BYXEHEXMBE&amp;VAR:QUERY=KChGRl9ERUJUKFFUUiwwLCwsLEFVRClARkZfREVCVChTRU1JLDAsLCwsQVVEKSlARkZfREVCVChBTk4sMCwsL","CxBVUQpKQ==&amp;WINDOW=FIRST_POPUP&amp;HEIGHT=450&amp;WIDTH=450&amp;START_MAXIMIZED=FALSE&amp;VAR:CALENDAR=FIVEDAY&amp;VAR:SYMBOL=605991&amp;VAR:INDEX=0"}</definedName>
    <definedName name="_353__123Graph_BCHART_6" hidden="1">#REF!</definedName>
    <definedName name="_353__FDSAUDITLINK__" hidden="1">{"fdsup://directions/FAT Viewer?action=UPDATE&amp;creator=factset&amp;DYN_ARGS=TRUE&amp;DOC_NAME=FAT:FQL_AUDITING_CLIENT_TEMPLATE.FAT&amp;display_string=Audit&amp;VAR:KEY=OZWXYJKRSH&amp;VAR:QUERY=KChGRl9ERUJUX0xUKFFUUiwwLCwsLEFVRClARkZfREVCVF9MVChTRU1JLDAsLCwsQVVEKSlARkZfREVCVF9MV","ChBTk4sMCwsLCxBVUQpKQ==&amp;WINDOW=FIRST_POPUP&amp;HEIGHT=450&amp;WIDTH=450&amp;START_MAXIMIZED=FALSE&amp;VAR:CALENDAR=FIVEDAY&amp;VAR:SYMBOL=652826&amp;VAR:INDEX=0"}</definedName>
    <definedName name="_353__FDSAUDITLINK___1" hidden="1">{"fdsup://directions/FAT Viewer?action=UPDATE&amp;creator=factset&amp;DYN_ARGS=TRUE&amp;DOC_NAME=FAT:FQL_AUDITING_CLIENT_TEMPLATE.FAT&amp;display_string=Audit&amp;VAR:KEY=OZWXYJKRSH&amp;VAR:QUERY=KChGRl9ERUJUX0xUKFFUUiwwLCwsLEFVRClARkZfREVCVF9MVChTRU1JLDAsLCwsQVVEKSlARkZfREVCVF9MV","ChBTk4sMCwsLCxBVUQpKQ==&amp;WINDOW=FIRST_POPUP&amp;HEIGHT=450&amp;WIDTH=450&amp;START_MAXIMIZED=FALSE&amp;VAR:CALENDAR=FIVEDAY&amp;VAR:SYMBOL=652826&amp;VAR:INDEX=0"}</definedName>
    <definedName name="_354__123Graph_BCHART_62" hidden="1">#REF!</definedName>
    <definedName name="_354__123Graph_BCHART_7" hidden="1">#REF!</definedName>
    <definedName name="_355__123Graph_BCHART_66" hidden="1">#REF!</definedName>
    <definedName name="_355__123Graph_BCHART_70" hidden="1">#REF!</definedName>
    <definedName name="_356__123Graph_BCHART_68" hidden="1">#REF!</definedName>
    <definedName name="_356__123Graph_BCHART_71" hidden="1">#REF!</definedName>
    <definedName name="_357__123Graph_BCHART_69" hidden="1">#REF!</definedName>
    <definedName name="_36__FDSAUDITLINK__" hidden="1">{"fdsup://Directions/FactSet Auditing Viewer?action=AUDIT_VALUE&amp;DB=129&amp;ID1=649273&amp;VALUEID=02001&amp;SDATE=201101&amp;PERIODTYPE=SEMI_STD&amp;window=popup_no_bar&amp;width=385&amp;height=120&amp;START_MAXIMIZED=FALSE&amp;creator=factset&amp;display_string=Audit"}</definedName>
    <definedName name="_36__FDSAUDITLINK___1" hidden="1">{"fdsup://Directions/FactSet Auditing Viewer?action=AUDIT_VALUE&amp;DB=129&amp;ID1=649273&amp;VALUEID=02001&amp;SDATE=201101&amp;PERIODTYPE=SEMI_STD&amp;window=popup_no_bar&amp;width=385&amp;height=120&amp;START_MAXIMIZED=FALSE&amp;creator=factset&amp;display_string=Audit"}</definedName>
    <definedName name="_362__FDSAUDITLINK__" hidden="1">{"fdsup://directions/FAT Viewer?action=UPDATE&amp;creator=factset&amp;DYN_ARGS=TRUE&amp;DOC_NAME=FAT:FQL_AUDITING_CLIENT_TEMPLATE.FAT&amp;display_string=Audit&amp;VAR:KEY=NSLMDCFKVK&amp;VAR:QUERY=KChGRl9ERUJUKFFUUiwwLCwsLEVVUilARkZfREVCVChTRU1JLDAsLCwsRVVSKSlARkZfREVCVChBTk4sMCwsL","CxFVVIpKQ==&amp;WINDOW=FIRST_POPUP&amp;HEIGHT=450&amp;WIDTH=450&amp;START_MAXIMIZED=FALSE&amp;VAR:CALENDAR=FIVEDAY&amp;VAR:SYMBOL=B1Y9TB&amp;VAR:INDEX=0"}</definedName>
    <definedName name="_362__FDSAUDITLINK___1" hidden="1">{"fdsup://directions/FAT Viewer?action=UPDATE&amp;creator=factset&amp;DYN_ARGS=TRUE&amp;DOC_NAME=FAT:FQL_AUDITING_CLIENT_TEMPLATE.FAT&amp;display_string=Audit&amp;VAR:KEY=NSLMDCFKVK&amp;VAR:QUERY=KChGRl9ERUJUKFFUUiwwLCwsLEVVUilARkZfREVCVChTRU1JLDAsLCwsRVVSKSlARkZfREVCVChBTk4sMCwsL","CxFVVIpKQ==&amp;WINDOW=FIRST_POPUP&amp;HEIGHT=450&amp;WIDTH=450&amp;START_MAXIMIZED=FALSE&amp;VAR:CALENDAR=FIVEDAY&amp;VAR:SYMBOL=B1Y9TB&amp;VAR:INDEX=0"}</definedName>
    <definedName name="_363__FDSAUDITLINK__" hidden="1">{"fdsup://directions/FAT Viewer?action=UPDATE&amp;creator=factset&amp;DYN_ARGS=TRUE&amp;DOC_NAME=FAT:FQL_AUDITING_CLIENT_TEMPLATE.FAT&amp;display_string=Audit&amp;VAR:KEY=XQPUFMJWNG&amp;VAR:QUERY=KChGRl9ERUJUKFFUUiwwLCwsLEFVRClARkZfREVCVChTRU1JLDAsLCwsQVVEKSlARkZfREVCVChBTk4sMCwsL","CxBVUQpKQ==&amp;WINDOW=FIRST_POPUP&amp;HEIGHT=450&amp;WIDTH=450&amp;START_MAXIMIZED=FALSE&amp;VAR:CALENDAR=FIVEDAY&amp;VAR:SYMBOL=673973&amp;VAR:INDEX=0"}</definedName>
    <definedName name="_363__FDSAUDITLINK___1" hidden="1">{"fdsup://directions/FAT Viewer?action=UPDATE&amp;creator=factset&amp;DYN_ARGS=TRUE&amp;DOC_NAME=FAT:FQL_AUDITING_CLIENT_TEMPLATE.FAT&amp;display_string=Audit&amp;VAR:KEY=XQPUFMJWNG&amp;VAR:QUERY=KChGRl9ERUJUKFFUUiwwLCwsLEFVRClARkZfREVCVChTRU1JLDAsLCwsQVVEKSlARkZfREVCVChBTk4sMCwsL","CxBVUQpKQ==&amp;WINDOW=FIRST_POPUP&amp;HEIGHT=450&amp;WIDTH=450&amp;START_MAXIMIZED=FALSE&amp;VAR:CALENDAR=FIVEDAY&amp;VAR:SYMBOL=673973&amp;VAR:INDEX=0"}</definedName>
    <definedName name="_37__FDSAUDITLINK__" hidden="1">{"fdsup://Directions/FactSet Auditing Viewer?action=AUDIT_VALUE&amp;DB=129&amp;ID1=647654&amp;VALUEID=7033030900&amp;SDATE=201101&amp;PERIODTYPE=SEMI_DET&amp;window=popup_no_bar&amp;width=385&amp;height=120&amp;START_MAXIMIZED=FALSE&amp;creator=factset&amp;display_string=Audit"}</definedName>
    <definedName name="_37__FDSAUDITLINK___1" hidden="1">{"fdsup://Directions/FactSet Auditing Viewer?action=AUDIT_VALUE&amp;DB=129&amp;ID1=647654&amp;VALUEID=7033030900&amp;SDATE=201101&amp;PERIODTYPE=SEMI_DET&amp;window=popup_no_bar&amp;width=385&amp;height=120&amp;START_MAXIMIZED=FALSE&amp;creator=factset&amp;display_string=Audit"}</definedName>
    <definedName name="_374__123Graph_BCHART_8" hidden="1">#REF!</definedName>
    <definedName name="_374__FDSAUDITLINK__" hidden="1">{"fdsup://directions/FAT Viewer?action=UPDATE&amp;creator=factset&amp;DYN_ARGS=TRUE&amp;DOC_NAME=FAT:FQL_AUDITING_CLIENT_TEMPLATE.FAT&amp;display_string=Audit&amp;VAR:KEY=VYNUNQLUVE&amp;VAR:QUERY=KChGRl9ERUJUKFFUUiwwLCwsLFVTRClARkZfREVCVChTRU1JLDAsLCwsVVNEKSlARkZfREVCVChBTk4sMCwsL","CxVU0QpKQ==&amp;WINDOW=FIRST_POPUP&amp;HEIGHT=450&amp;WIDTH=450&amp;START_MAXIMIZED=FALSE&amp;VAR:CALENDAR=FIVEDAY&amp;VAR:SYMBOL=87612E10&amp;VAR:INDEX=0"}</definedName>
    <definedName name="_374__FDSAUDITLINK___1" hidden="1">{"fdsup://directions/FAT Viewer?action=UPDATE&amp;creator=factset&amp;DYN_ARGS=TRUE&amp;DOC_NAME=FAT:FQL_AUDITING_CLIENT_TEMPLATE.FAT&amp;display_string=Audit&amp;VAR:KEY=VYNUNQLUVE&amp;VAR:QUERY=KChGRl9ERUJUKFFUUiwwLCwsLFVTRClARkZfREVCVChTRU1JLDAsLCwsVVNEKSlARkZfREVCVChBTk4sMCwsL","CxVU0QpKQ==&amp;WINDOW=FIRST_POPUP&amp;HEIGHT=450&amp;WIDTH=450&amp;START_MAXIMIZED=FALSE&amp;VAR:CALENDAR=FIVEDAY&amp;VAR:SYMBOL=87612E10&amp;VAR:INDEX=0"}</definedName>
    <definedName name="_375__FDSAUDITLINK__" hidden="1">{"fdsup://Directions/FactSet Auditing Viewer?action=AUDIT_VALUE&amp;DB=129&amp;ID1=87612E10&amp;VALUEID=02001&amp;SDATE=201004&amp;PERIODTYPE=QTR_STD&amp;SCFT=3&amp;window=popup_no_bar&amp;width=385&amp;height=120&amp;START_MAXIMIZED=FALSE&amp;creator=factset&amp;display_string=Audit"}</definedName>
    <definedName name="_375__FDSAUDITLINK___1" hidden="1">{"fdsup://Directions/FactSet Auditing Viewer?action=AUDIT_VALUE&amp;DB=129&amp;ID1=87612E10&amp;VALUEID=02001&amp;SDATE=201004&amp;PERIODTYPE=QTR_STD&amp;SCFT=3&amp;window=popup_no_bar&amp;width=385&amp;height=120&amp;START_MAXIMIZED=FALSE&amp;creator=factset&amp;display_string=Audit"}</definedName>
    <definedName name="_376__123Graph_BCHART_7" hidden="1">#REF!</definedName>
    <definedName name="_377__123Graph_BCHART_70" hidden="1">#REF!</definedName>
    <definedName name="_377__FDSAUDITLINK__" hidden="1">{"fdsup://directions/FAT Viewer?action=UPDATE&amp;creator=factset&amp;DYN_ARGS=TRUE&amp;DOC_NAME=FAT:FQL_AUDITING_CLIENT_TEMPLATE.FAT&amp;display_string=Audit&amp;VAR:KEY=HKPEHCVWNK&amp;VAR:QUERY=KChGRl9ERUJUKFFUUiwwLCwsLFVTRClARkZfREVCVChTRU1JLDAsLCwsVVNEKSlARkZfREVCVChBTk4sMCwsL","CxVU0QpKQ==&amp;WINDOW=FIRST_POPUP&amp;HEIGHT=450&amp;WIDTH=450&amp;START_MAXIMIZED=FALSE&amp;VAR:CALENDAR=FIVEDAY&amp;VAR:SYMBOL=B1FJ0C&amp;VAR:INDEX=0"}</definedName>
    <definedName name="_377__FDSAUDITLINK___1" hidden="1">{"fdsup://directions/FAT Viewer?action=UPDATE&amp;creator=factset&amp;DYN_ARGS=TRUE&amp;DOC_NAME=FAT:FQL_AUDITING_CLIENT_TEMPLATE.FAT&amp;display_string=Audit&amp;VAR:KEY=HKPEHCVWNK&amp;VAR:QUERY=KChGRl9ERUJUKFFUUiwwLCwsLFVTRClARkZfREVCVChTRU1JLDAsLCwsVVNEKSlARkZfREVCVChBTk4sMCwsL","CxVU0QpKQ==&amp;WINDOW=FIRST_POPUP&amp;HEIGHT=450&amp;WIDTH=450&amp;START_MAXIMIZED=FALSE&amp;VAR:CALENDAR=FIVEDAY&amp;VAR:SYMBOL=B1FJ0C&amp;VAR:INDEX=0"}</definedName>
    <definedName name="_378__123Graph_BCHART_71" hidden="1">#REF!</definedName>
    <definedName name="_379__FDSAUDITLINK__" hidden="1">{"fdsup://directions/FAT Viewer?action=UPDATE&amp;creator=factset&amp;DYN_ARGS=TRUE&amp;DOC_NAME=FAT:FQL_AUDITING_CLIENT_TEMPLATE.FAT&amp;display_string=Audit&amp;VAR:KEY=ZQXOJQJKFA&amp;VAR:QUERY=KChGRl9ERUJUKFFUUiwwLCwsLFNHRClARkZfREVCVChTRU1JLDAsLCwsU0dEKSlARkZfREVCVChBTk4sMCwsL","CxTR0QpKQ==&amp;WINDOW=FIRST_POPUP&amp;HEIGHT=450&amp;WIDTH=450&amp;START_MAXIMIZED=FALSE&amp;VAR:CALENDAR=FIVEDAY&amp;VAR:SYMBOL=625822&amp;VAR:INDEX=0"}</definedName>
    <definedName name="_379__FDSAUDITLINK___1" hidden="1">{"fdsup://directions/FAT Viewer?action=UPDATE&amp;creator=factset&amp;DYN_ARGS=TRUE&amp;DOC_NAME=FAT:FQL_AUDITING_CLIENT_TEMPLATE.FAT&amp;display_string=Audit&amp;VAR:KEY=ZQXOJQJKFA&amp;VAR:QUERY=KChGRl9ERUJUKFFUUiwwLCwsLFNHRClARkZfREVCVChTRU1JLDAsLCwsU0dEKSlARkZfREVCVChBTk4sMCwsL","CxTR0QpKQ==&amp;WINDOW=FIRST_POPUP&amp;HEIGHT=450&amp;WIDTH=450&amp;START_MAXIMIZED=FALSE&amp;VAR:CALENDAR=FIVEDAY&amp;VAR:SYMBOL=625822&amp;VAR:INDEX=0"}</definedName>
    <definedName name="_38__FDSAUDITLINK__" hidden="1">{"fdsup://Directions/FactSet Auditing Viewer?action=AUDIT_VALUE&amp;DB=129&amp;ID1=647654&amp;VALUEID=02001&amp;SDATE=201101&amp;PERIODTYPE=SEMI_STD&amp;window=popup_no_bar&amp;width=385&amp;height=120&amp;START_MAXIMIZED=FALSE&amp;creator=factset&amp;display_string=Audit"}</definedName>
    <definedName name="_38__FDSAUDITLINK___1" hidden="1">{"fdsup://Directions/FactSet Auditing Viewer?action=AUDIT_VALUE&amp;DB=129&amp;ID1=647654&amp;VALUEID=02001&amp;SDATE=201101&amp;PERIODTYPE=SEMI_STD&amp;window=popup_no_bar&amp;width=385&amp;height=120&amp;START_MAXIMIZED=FALSE&amp;creator=factset&amp;display_string=Audit"}</definedName>
    <definedName name="_381__FDSAUDITLINK__" hidden="1">{"fdsup://directions/FAT Viewer?action=UPDATE&amp;creator=factset&amp;DYN_ARGS=TRUE&amp;DOC_NAME=FAT:FQL_AUDITING_CLIENT_TEMPLATE.FAT&amp;display_string=Audit&amp;VAR:KEY=TQZWZKFOVY&amp;VAR:QUERY=KChGRl9ERUJUKFFUUiwwLCwsLFVTRClARkZfREVCVChTRU1JLDAsLCwsVVNEKSlARkZfREVCVChBTk4sMCwsL","CxVU0QpKQ==&amp;WINDOW=FIRST_POPUP&amp;HEIGHT=450&amp;WIDTH=450&amp;START_MAXIMIZED=FALSE&amp;VAR:CALENDAR=FIVEDAY&amp;VAR:SYMBOL=281070&amp;VAR:INDEX=0"}</definedName>
    <definedName name="_381__FDSAUDITLINK___1" hidden="1">{"fdsup://directions/FAT Viewer?action=UPDATE&amp;creator=factset&amp;DYN_ARGS=TRUE&amp;DOC_NAME=FAT:FQL_AUDITING_CLIENT_TEMPLATE.FAT&amp;display_string=Audit&amp;VAR:KEY=TQZWZKFOVY&amp;VAR:QUERY=KChGRl9ERUJUKFFUUiwwLCwsLFVTRClARkZfREVCVChTRU1JLDAsLCwsVVNEKSlARkZfREVCVChBTk4sMCwsL","CxVU0QpKQ==&amp;WINDOW=FIRST_POPUP&amp;HEIGHT=450&amp;WIDTH=450&amp;START_MAXIMIZED=FALSE&amp;VAR:CALENDAR=FIVEDAY&amp;VAR:SYMBOL=281070&amp;VAR:INDEX=0"}</definedName>
    <definedName name="_382__FDSAUDITLINK__" hidden="1">{"fdsup://directions/FAT Viewer?action=UPDATE&amp;creator=factset&amp;DYN_ARGS=TRUE&amp;DOC_NAME=FAT:FQL_AUDITING_CLIENT_TEMPLATE.FAT&amp;display_string=Audit&amp;VAR:KEY=VCTSJQNKHS&amp;VAR:QUERY=KChGRl9ERUJUX0xUKFFUUiwwLCwsLEFVRClARkZfREVCVF9MVChTRU1JLDAsLCwsQVVEKSlARkZfREVCVF9MV","ChBTk4sMCwsLCxBVUQpKQ==&amp;WINDOW=FIRST_POPUP&amp;HEIGHT=450&amp;WIDTH=450&amp;START_MAXIMIZED=FALSE&amp;VAR:CALENDAR=FIVEDAY&amp;VAR:SYMBOL=698123&amp;VAR:INDEX=0"}</definedName>
    <definedName name="_382__FDSAUDITLINK___1" hidden="1">{"fdsup://directions/FAT Viewer?action=UPDATE&amp;creator=factset&amp;DYN_ARGS=TRUE&amp;DOC_NAME=FAT:FQL_AUDITING_CLIENT_TEMPLATE.FAT&amp;display_string=Audit&amp;VAR:KEY=VCTSJQNKHS&amp;VAR:QUERY=KChGRl9ERUJUX0xUKFFUUiwwLCwsLEFVRClARkZfREVCVF9MVChTRU1JLDAsLCwsQVVEKSlARkZfREVCVF9MV","ChBTk4sMCwsLCxBVUQpKQ==&amp;WINDOW=FIRST_POPUP&amp;HEIGHT=450&amp;WIDTH=450&amp;START_MAXIMIZED=FALSE&amp;VAR:CALENDAR=FIVEDAY&amp;VAR:SYMBOL=698123&amp;VAR:INDEX=0"}</definedName>
    <definedName name="_383__FDSAUDITLINK__" hidden="1">{"fdsup://directions/FAT Viewer?action=UPDATE&amp;creator=factset&amp;DYN_ARGS=TRUE&amp;DOC_NAME=FAT:FQL_AUDITING_CLIENT_TEMPLATE.FAT&amp;display_string=Audit&amp;VAR:KEY=XYTURCPOZY&amp;VAR:QUERY=KChGRl9ERUJUKFFUUiwwLCwsLFVTRClARkZfREVCVChTRU1JLDAsLCwsVVNEKSlARkZfREVCVChBTk4sMCwsL","CxVU0QpKQ==&amp;WINDOW=FIRST_POPUP&amp;HEIGHT=450&amp;WIDTH=450&amp;START_MAXIMIZED=FALSE&amp;VAR:CALENDAR=FIVEDAY&amp;VAR:SYMBOL=B4WXN8&amp;VAR:INDEX=0"}</definedName>
    <definedName name="_383__FDSAUDITLINK___1" hidden="1">{"fdsup://directions/FAT Viewer?action=UPDATE&amp;creator=factset&amp;DYN_ARGS=TRUE&amp;DOC_NAME=FAT:FQL_AUDITING_CLIENT_TEMPLATE.FAT&amp;display_string=Audit&amp;VAR:KEY=XYTURCPOZY&amp;VAR:QUERY=KChGRl9ERUJUKFFUUiwwLCwsLFVTRClARkZfREVCVChTRU1JLDAsLCwsVVNEKSlARkZfREVCVChBTk4sMCwsL","CxVU0QpKQ==&amp;WINDOW=FIRST_POPUP&amp;HEIGHT=450&amp;WIDTH=450&amp;START_MAXIMIZED=FALSE&amp;VAR:CALENDAR=FIVEDAY&amp;VAR:SYMBOL=B4WXN8&amp;VAR:INDEX=0"}</definedName>
    <definedName name="_384__FDSAUDITLINK__" hidden="1">{"fdsup://Directions/FactSet Auditing Viewer?action=AUDIT_VALUE&amp;DB=129&amp;ID1=201164&amp;VALUEID=02001&amp;SDATE=201003&amp;PERIODTYPE=QTR_STD&amp;SCFT=3&amp;window=popup_no_bar&amp;width=385&amp;height=120&amp;START_MAXIMIZED=FALSE&amp;creator=factset&amp;display_string=Audit"}</definedName>
    <definedName name="_384__FDSAUDITLINK___1" hidden="1">{"fdsup://Directions/FactSet Auditing Viewer?action=AUDIT_VALUE&amp;DB=129&amp;ID1=201164&amp;VALUEID=02001&amp;SDATE=201003&amp;PERIODTYPE=QTR_STD&amp;SCFT=3&amp;window=popup_no_bar&amp;width=385&amp;height=120&amp;START_MAXIMIZED=FALSE&amp;creator=factset&amp;display_string=Audit"}</definedName>
    <definedName name="_385__FDSAUDITLINK__" hidden="1">{"fdsup://Directions/FactSet Auditing Viewer?action=AUDIT_VALUE&amp;DB=129&amp;ID1=B1FJ0C&amp;VALUEID=02001&amp;SDATE=201101&amp;PERIODTYPE=SEMI_STD&amp;SCFT=3&amp;window=popup_no_bar&amp;width=385&amp;height=120&amp;START_MAXIMIZED=FALSE&amp;creator=factset&amp;display_string=Audit"}</definedName>
    <definedName name="_385__FDSAUDITLINK___1" hidden="1">{"fdsup://Directions/FactSet Auditing Viewer?action=AUDIT_VALUE&amp;DB=129&amp;ID1=B1FJ0C&amp;VALUEID=02001&amp;SDATE=201101&amp;PERIODTYPE=SEMI_STD&amp;SCFT=3&amp;window=popup_no_bar&amp;width=385&amp;height=120&amp;START_MAXIMIZED=FALSE&amp;creator=factset&amp;display_string=Audit"}</definedName>
    <definedName name="_386__FDSAUDITLINK__" hidden="1">{"fdsup://Directions/FactSet Auditing Viewer?action=AUDIT_VALUE&amp;DB=129&amp;ID1=625822&amp;VALUEID=02001&amp;SDATE=201003&amp;PERIODTYPE=QTR_STD&amp;SCFT=3&amp;window=popup_no_bar&amp;width=385&amp;height=120&amp;START_MAXIMIZED=FALSE&amp;creator=factset&amp;display_string=Audit"}</definedName>
    <definedName name="_386__FDSAUDITLINK___1" hidden="1">{"fdsup://Directions/FactSet Auditing Viewer?action=AUDIT_VALUE&amp;DB=129&amp;ID1=625822&amp;VALUEID=02001&amp;SDATE=201003&amp;PERIODTYPE=QTR_STD&amp;SCFT=3&amp;window=popup_no_bar&amp;width=385&amp;height=120&amp;START_MAXIMIZED=FALSE&amp;creator=factset&amp;display_string=Audit"}</definedName>
    <definedName name="_387__FDSAUDITLINK__" hidden="1">{"fdsup://Directions/FactSet Auditing Viewer?action=AUDIT_VALUE&amp;DB=129&amp;ID1=281070&amp;VALUEID=02001&amp;SDATE=201004&amp;PERIODTYPE=QTR_STD&amp;SCFT=3&amp;window=popup_no_bar&amp;width=385&amp;height=120&amp;START_MAXIMIZED=FALSE&amp;creator=factset&amp;display_string=Audit"}</definedName>
    <definedName name="_387__FDSAUDITLINK___1" hidden="1">{"fdsup://Directions/FactSet Auditing Viewer?action=AUDIT_VALUE&amp;DB=129&amp;ID1=281070&amp;VALUEID=02001&amp;SDATE=201004&amp;PERIODTYPE=QTR_STD&amp;SCFT=3&amp;window=popup_no_bar&amp;width=385&amp;height=120&amp;START_MAXIMIZED=FALSE&amp;creator=factset&amp;display_string=Audit"}</definedName>
    <definedName name="_388__123Graph_BCHART_9" hidden="1">#REF!</definedName>
    <definedName name="_39__FDSAUDITLINK__" hidden="1">{"fdsup://Directions/FactSet Auditing Viewer?action=AUDIT_VALUE&amp;DB=129&amp;ID1=605991&amp;VALUEID=7033030900&amp;SDATE=201101&amp;PERIODTYPE=SEMI_DET&amp;window=popup_no_bar&amp;width=385&amp;height=120&amp;START_MAXIMIZED=FALSE&amp;creator=factset&amp;display_string=Audit"}</definedName>
    <definedName name="_39__FDSAUDITLINK___1" hidden="1">{"fdsup://Directions/FactSet Auditing Viewer?action=AUDIT_VALUE&amp;DB=129&amp;ID1=605991&amp;VALUEID=7033030900&amp;SDATE=201101&amp;PERIODTYPE=SEMI_DET&amp;window=popup_no_bar&amp;width=385&amp;height=120&amp;START_MAXIMIZED=FALSE&amp;creator=factset&amp;display_string=Audit"}</definedName>
    <definedName name="_396__123Graph_CCHART_1" hidden="1">#REF!</definedName>
    <definedName name="_397__123Graph_BCHART_8" hidden="1">#REF!</definedName>
    <definedName name="_4__FDSAUDITLINK__" hidden="1">{"fdsup://directions/FAT Viewer?action=UPDATE&amp;creator=factset&amp;DYN_ARGS=TRUE&amp;DOC_NAME=FAT:FQL_AUDITING_CLIENT_TEMPLATE.FAT&amp;display_string=Audit&amp;VAR:KEY=KVEJEFQVSB&amp;VAR:QUERY=KChGRl9ERUJUKFFUUiwwKUBGRl9ERUJUKFNFTUksMCkpQEZGX0RFQlQoQU5OLDApKQ==&amp;WINDOW=FIRST_POP","UP&amp;HEIGHT=450&amp;WIDTH=450&amp;START_MAXIMIZED=FALSE&amp;VAR:CALENDAR=FIVEDAY&amp;VAR:INDEX=0"}</definedName>
    <definedName name="_4__FDSAUDITLINK___1" hidden="1">{"fdsup://directions/FAT Viewer?action=UPDATE&amp;creator=factset&amp;DYN_ARGS=TRUE&amp;DOC_NAME=FAT:FQL_AUDITING_CLIENT_TEMPLATE.FAT&amp;display_string=Audit&amp;VAR:KEY=KVEJEFQVSB&amp;VAR:QUERY=KChGRl9ERUJUKFFUUiwwKUBGRl9ERUJUKFNFTUksMCkpQEZGX0RFQlQoQU5OLDApKQ==&amp;WINDOW=FIRST_POP","UP&amp;HEIGHT=450&amp;WIDTH=450&amp;START_MAXIMIZED=FALSE&amp;VAR:CALENDAR=FIVEDAY&amp;VAR:INDEX=0"}</definedName>
    <definedName name="_40__FDSAUDITLINK__" hidden="1">{"fdsup://Directions/FactSet Auditing Viewer?action=AUDIT_VALUE&amp;DB=129&amp;ID1=605991&amp;VALUEID=02001&amp;SDATE=201101&amp;PERIODTYPE=SEMI_STD&amp;window=popup_no_bar&amp;width=385&amp;height=120&amp;START_MAXIMIZED=FALSE&amp;creator=factset&amp;display_string=Audit"}</definedName>
    <definedName name="_40__FDSAUDITLINK___1" hidden="1">{"fdsup://Directions/FactSet Auditing Viewer?action=AUDIT_VALUE&amp;DB=129&amp;ID1=605991&amp;VALUEID=02001&amp;SDATE=201101&amp;PERIODTYPE=SEMI_STD&amp;window=popup_no_bar&amp;width=385&amp;height=120&amp;START_MAXIMIZED=FALSE&amp;creator=factset&amp;display_string=Audit"}</definedName>
    <definedName name="_404__123Graph_CCHART_10" hidden="1">#REF!</definedName>
    <definedName name="_41__FDSAUDITLINK__" hidden="1">{"fdsup://Directions/FactSet Auditing Viewer?action=AUDIT_VALUE&amp;DB=129&amp;ID1=B0736T&amp;VALUEID=02001&amp;SDATE=201101&amp;PERIODTYPE=SEMI_STD&amp;window=popup_no_bar&amp;width=385&amp;height=120&amp;START_MAXIMIZED=FALSE&amp;creator=factset&amp;display_string=Audit"}</definedName>
    <definedName name="_41__FDSAUDITLINK___1" hidden="1">{"fdsup://Directions/FactSet Auditing Viewer?action=AUDIT_VALUE&amp;DB=129&amp;ID1=B0736T&amp;VALUEID=02001&amp;SDATE=201101&amp;PERIODTYPE=SEMI_STD&amp;window=popup_no_bar&amp;width=385&amp;height=120&amp;START_MAXIMIZED=FALSE&amp;creator=factset&amp;display_string=Audit"}</definedName>
    <definedName name="_412__123Graph_BCHART_9" hidden="1">#REF!</definedName>
    <definedName name="_418__123Graph_CCHART_11" hidden="1">#REF!</definedName>
    <definedName name="_419__123Graph_CCHART_12" hidden="1">#REF!</definedName>
    <definedName name="_42__123Graph_ACHART_11" hidden="1">#REF!</definedName>
    <definedName name="_42__FDSAUDITLINK__" hidden="1">{"fdsup://Directions/FactSet Auditing Viewer?action=AUDIT_VALUE&amp;DB=129&amp;ID1=608820&amp;VALUEID=7033030900&amp;SDATE=201101&amp;PERIODTYPE=SEMI_DET&amp;window=popup_no_bar&amp;width=385&amp;height=120&amp;START_MAXIMIZED=FALSE&amp;creator=factset&amp;display_string=Audit"}</definedName>
    <definedName name="_42__FDSAUDITLINK___1" hidden="1">{"fdsup://Directions/FactSet Auditing Viewer?action=AUDIT_VALUE&amp;DB=129&amp;ID1=608820&amp;VALUEID=7033030900&amp;SDATE=201101&amp;PERIODTYPE=SEMI_DET&amp;window=popup_no_bar&amp;width=385&amp;height=120&amp;START_MAXIMIZED=FALSE&amp;creator=factset&amp;display_string=Audit"}</definedName>
    <definedName name="_420__123Graph_CCHART_1" hidden="1">#REF!</definedName>
    <definedName name="_420__123Graph_CCHART_13" hidden="1">#REF!</definedName>
    <definedName name="_421__123Graph_CCHART_14" hidden="1">#REF!</definedName>
    <definedName name="_422__123Graph_CCHART_15" hidden="1">#REF!</definedName>
    <definedName name="_423__123Graph_CCHART_16" hidden="1">#REF!</definedName>
    <definedName name="_428__123Graph_CCHART_10" hidden="1">#REF!</definedName>
    <definedName name="_43__FDSAUDITLINK__" hidden="1">{"fdsup://Directions/FactSet Auditing Viewer?action=AUDIT_VALUE&amp;DB=129&amp;ID1=608820&amp;VALUEID=02001&amp;SDATE=201101&amp;PERIODTYPE=SEMI_STD&amp;window=popup_no_bar&amp;width=385&amp;height=120&amp;START_MAXIMIZED=FALSE&amp;creator=factset&amp;display_string=Audit"}</definedName>
    <definedName name="_43__FDSAUDITLINK___1" hidden="1">{"fdsup://Directions/FactSet Auditing Viewer?action=AUDIT_VALUE&amp;DB=129&amp;ID1=608820&amp;VALUEID=02001&amp;SDATE=201101&amp;PERIODTYPE=SEMI_STD&amp;window=popup_no_bar&amp;width=385&amp;height=120&amp;START_MAXIMIZED=FALSE&amp;creator=factset&amp;display_string=Audit"}</definedName>
    <definedName name="_437__123Graph_CCHART_2" hidden="1">#REF!</definedName>
    <definedName name="_44__FDSAUDITLINK__" hidden="1">{"fdsup://Directions/FactSet Auditing Viewer?action=AUDIT_VALUE&amp;DB=129&amp;ID1=690261&amp;VALUEID=7033030900&amp;SDATE=201003&amp;PERIODTYPE=QTR_DET&amp;window=popup_no_bar&amp;width=385&amp;height=120&amp;START_MAXIMIZED=FALSE&amp;creator=factset&amp;display_string=Audit"}</definedName>
    <definedName name="_44__FDSAUDITLINK___1" hidden="1">{"fdsup://Directions/FactSet Auditing Viewer?action=AUDIT_VALUE&amp;DB=129&amp;ID1=690261&amp;VALUEID=7033030900&amp;SDATE=201003&amp;PERIODTYPE=QTR_DET&amp;window=popup_no_bar&amp;width=385&amp;height=120&amp;START_MAXIMIZED=FALSE&amp;creator=factset&amp;display_string=Audit"}</definedName>
    <definedName name="_443__123Graph_CCHART_11" hidden="1">#REF!</definedName>
    <definedName name="_444__123Graph_CCHART_12" hidden="1">#REF!</definedName>
    <definedName name="_445__123Graph_CCHART_13" hidden="1">#REF!</definedName>
    <definedName name="_445__123Graph_CCHART_3" hidden="1">#REF!</definedName>
    <definedName name="_446__123Graph_CCHART_14" hidden="1">#REF!</definedName>
    <definedName name="_447__123Graph_CCHART_15" hidden="1">#REF!</definedName>
    <definedName name="_448__123Graph_CCHART_16" hidden="1">#REF!</definedName>
    <definedName name="_45__123Graph_ACHART_11" hidden="1">#REF!</definedName>
    <definedName name="_45__FDSAUDITLINK__" hidden="1">{"fdsup://Directions/FactSet Auditing Viewer?action=AUDIT_VALUE&amp;DB=129&amp;ID1=690261&amp;VALUEID=02001&amp;SDATE=201004&amp;PERIODTYPE=QTR_STD&amp;window=popup_no_bar&amp;width=385&amp;height=120&amp;START_MAXIMIZED=FALSE&amp;creator=factset&amp;display_string=Audit"}</definedName>
    <definedName name="_45__FDSAUDITLINK___1" hidden="1">{"fdsup://Directions/FactSet Auditing Viewer?action=AUDIT_VALUE&amp;DB=129&amp;ID1=690261&amp;VALUEID=02001&amp;SDATE=201004&amp;PERIODTYPE=QTR_STD&amp;window=popup_no_bar&amp;width=385&amp;height=120&amp;START_MAXIMIZED=FALSE&amp;creator=factset&amp;display_string=Audit"}</definedName>
    <definedName name="_453__123Graph_CCHART_4" hidden="1">#REF!</definedName>
    <definedName name="_46__FDSAUDITLINK__" hidden="1">{"fdsup://Directions/FactSet Auditing Viewer?action=AUDIT_VALUE&amp;DB=129&amp;ID1=B013SX&amp;VALUEID=7033030900&amp;SDATE=201101&amp;PERIODTYPE=SEMI_DET&amp;window=popup_no_bar&amp;width=385&amp;height=120&amp;START_MAXIMIZED=FALSE&amp;creator=factset&amp;display_string=Audit"}</definedName>
    <definedName name="_46__FDSAUDITLINK___1" hidden="1">{"fdsup://Directions/FactSet Auditing Viewer?action=AUDIT_VALUE&amp;DB=129&amp;ID1=B013SX&amp;VALUEID=7033030900&amp;SDATE=201101&amp;PERIODTYPE=SEMI_DET&amp;window=popup_no_bar&amp;width=385&amp;height=120&amp;START_MAXIMIZED=FALSE&amp;creator=factset&amp;display_string=Audit"}</definedName>
    <definedName name="_461__123Graph_CCHART_5" hidden="1">#REF!</definedName>
    <definedName name="_463__123Graph_CCHART_2" hidden="1">#REF!</definedName>
    <definedName name="_469__123Graph_CCHART_6" hidden="1">#REF!</definedName>
    <definedName name="_47__FDSAUDITLINK__" hidden="1">{"fdsup://Directions/FactSet Auditing Viewer?action=AUDIT_VALUE&amp;DB=129&amp;ID1=B013SX&amp;VALUEID=02001&amp;SDATE=201101&amp;PERIODTYPE=SEMI_STD&amp;window=popup_no_bar&amp;width=385&amp;height=120&amp;START_MAXIMIZED=FALSE&amp;creator=factset&amp;display_string=Audit"}</definedName>
    <definedName name="_47__FDSAUDITLINK___1" hidden="1">{"fdsup://Directions/FactSet Auditing Viewer?action=AUDIT_VALUE&amp;DB=129&amp;ID1=B013SX&amp;VALUEID=02001&amp;SDATE=201101&amp;PERIODTYPE=SEMI_STD&amp;window=popup_no_bar&amp;width=385&amp;height=120&amp;START_MAXIMIZED=FALSE&amp;creator=factset&amp;display_string=Audit"}</definedName>
    <definedName name="_470__123Graph_CCHART_62" hidden="1">#REF!</definedName>
    <definedName name="_471__123Graph_CCHART_3" hidden="1">#REF!</definedName>
    <definedName name="_471__123Graph_CCHART_66" hidden="1">#REF!</definedName>
    <definedName name="_472__123Graph_CCHART_68" hidden="1">#REF!</definedName>
    <definedName name="_473__123Graph_CCHART_69" hidden="1">#REF!</definedName>
    <definedName name="_479__123Graph_CCHART_4" hidden="1">#REF!</definedName>
    <definedName name="_48__FDSAUDITLINK__" hidden="1">{"fdsup://Directions/FactSet Auditing Viewer?action=AUDIT_VALUE&amp;DB=129&amp;ID1=616495&amp;VALUEID=02001&amp;SDATE=201002&amp;PERIODTYPE=SEMI_STD&amp;window=popup_no_bar&amp;width=385&amp;height=120&amp;START_MAXIMIZED=FALSE&amp;creator=factset&amp;display_string=Audit"}</definedName>
    <definedName name="_48__FDSAUDITLINK___1" hidden="1">{"fdsup://Directions/FactSet Auditing Viewer?action=AUDIT_VALUE&amp;DB=129&amp;ID1=616495&amp;VALUEID=02001&amp;SDATE=201002&amp;PERIODTYPE=SEMI_STD&amp;window=popup_no_bar&amp;width=385&amp;height=120&amp;START_MAXIMIZED=FALSE&amp;creator=factset&amp;display_string=Audit"}</definedName>
    <definedName name="_481__123Graph_CCHART_7" hidden="1">#REF!</definedName>
    <definedName name="_482__123Graph_CCHART_70" hidden="1">#REF!</definedName>
    <definedName name="_487__123Graph_CCHART_5" hidden="1">#REF!</definedName>
    <definedName name="_49__FDSAUDITLINK__" hidden="1">{"fdsup://Directions/FactSet Auditing Viewer?action=AUDIT_VALUE&amp;DB=129&amp;ID1=620569&amp;VALUEID=02001&amp;SDATE=201101&amp;PERIODTYPE=SEMI_STD&amp;window=popup_no_bar&amp;width=385&amp;height=120&amp;START_MAXIMIZED=FALSE&amp;creator=factset&amp;display_string=Audit"}</definedName>
    <definedName name="_49__FDSAUDITLINK___1" hidden="1">{"fdsup://Directions/FactSet Auditing Viewer?action=AUDIT_VALUE&amp;DB=129&amp;ID1=620569&amp;VALUEID=02001&amp;SDATE=201101&amp;PERIODTYPE=SEMI_STD&amp;window=popup_no_bar&amp;width=385&amp;height=120&amp;START_MAXIMIZED=FALSE&amp;creator=factset&amp;display_string=Audit"}</definedName>
    <definedName name="_490__123Graph_CCHART_8" hidden="1">#REF!</definedName>
    <definedName name="_495__123Graph_CCHART_6" hidden="1">#REF!</definedName>
    <definedName name="_496__123Graph_CCHART_62" hidden="1">#REF!</definedName>
    <definedName name="_497__123Graph_CCHART_66" hidden="1">#REF!</definedName>
    <definedName name="_498__123Graph_CCHART_68" hidden="1">#REF!</definedName>
    <definedName name="_498__123Graph_CCHART_9" hidden="1">#REF!</definedName>
    <definedName name="_499__123Graph_CCHART_69" hidden="1">#REF!</definedName>
    <definedName name="_499__123Graph_DCHART_1" hidden="1">#REF!</definedName>
    <definedName name="_5__FDSAUDITLINK__" hidden="1">{"fdsup://Directions/FactSet Auditing Viewer?action=AUDIT_VALUE&amp;DB=129&amp;ID1=B0736T&amp;VALUEID=03426&amp;SDATE=201101&amp;PERIODTYPE=SEMI_STD&amp;window=popup_no_bar&amp;width=385&amp;height=120&amp;START_MAXIMIZED=FALSE&amp;creator=factset&amp;display_string=Audit"}</definedName>
    <definedName name="_5__FDSAUDITLINK___1" hidden="1">{"fdsup://Directions/FactSet Auditing Viewer?action=AUDIT_VALUE&amp;DB=129&amp;ID1=B0736T&amp;VALUEID=03426&amp;SDATE=201101&amp;PERIODTYPE=SEMI_STD&amp;window=popup_no_bar&amp;width=385&amp;height=120&amp;START_MAXIMIZED=FALSE&amp;creator=factset&amp;display_string=Audit"}</definedName>
    <definedName name="_50__FDSAUDITLINK__" hidden="1">{"fdsup://Directions/FactSet Auditing Viewer?action=AUDIT_VALUE&amp;DB=129&amp;ID1=660047&amp;VALUEID=7033030900&amp;SDATE=201101&amp;PERIODTYPE=SEMI_DET&amp;window=popup_no_bar&amp;width=385&amp;height=120&amp;START_MAXIMIZED=FALSE&amp;creator=factset&amp;display_string=Audit"}</definedName>
    <definedName name="_50__FDSAUDITLINK___1" hidden="1">{"fdsup://Directions/FactSet Auditing Viewer?action=AUDIT_VALUE&amp;DB=129&amp;ID1=660047&amp;VALUEID=7033030900&amp;SDATE=201101&amp;PERIODTYPE=SEMI_DET&amp;window=popup_no_bar&amp;width=385&amp;height=120&amp;START_MAXIMIZED=FALSE&amp;creator=factset&amp;display_string=Audit"}</definedName>
    <definedName name="_507__123Graph_CCHART_7" hidden="1">#REF!</definedName>
    <definedName name="_507__123Graph_DCHART_10" hidden="1">#REF!</definedName>
    <definedName name="_508__123Graph_CCHART_70" hidden="1">#REF!</definedName>
    <definedName name="_508__123Graph_DCHART_11" hidden="1">#REF!</definedName>
    <definedName name="_509__123Graph_DCHART_13" hidden="1">#REF!</definedName>
    <definedName name="_51__FDSAUDITLINK__" hidden="1">{"fdsup://Directions/FactSet Auditing Viewer?action=AUDIT_VALUE&amp;DB=129&amp;ID1=660047&amp;VALUEID=02001&amp;SDATE=201101&amp;PERIODTYPE=SEMI_STD&amp;window=popup_no_bar&amp;width=385&amp;height=120&amp;START_MAXIMIZED=FALSE&amp;creator=factset&amp;display_string=Audit"}</definedName>
    <definedName name="_51__FDSAUDITLINK___1" hidden="1">{"fdsup://Directions/FactSet Auditing Viewer?action=AUDIT_VALUE&amp;DB=129&amp;ID1=660047&amp;VALUEID=02001&amp;SDATE=201101&amp;PERIODTYPE=SEMI_STD&amp;window=popup_no_bar&amp;width=385&amp;height=120&amp;START_MAXIMIZED=FALSE&amp;creator=factset&amp;display_string=Audit"}</definedName>
    <definedName name="_510__123Graph_DCHART_16" hidden="1">#REF!</definedName>
    <definedName name="_511__123Graph_DCHART_2" hidden="1">#REF!</definedName>
    <definedName name="_512__123Graph_DCHART_66" hidden="1">#REF!</definedName>
    <definedName name="_513__123Graph_DCHART_68" hidden="1">#REF!</definedName>
    <definedName name="_514__123Graph_DCHART_70" hidden="1">#REF!</definedName>
    <definedName name="_516__123Graph_CCHART_8" hidden="1">#REF!</definedName>
    <definedName name="_52__FDSAUDITLINK__" hidden="1">{"fdsup://Directions/FactSet Auditing Viewer?action=AUDIT_VALUE&amp;DB=129&amp;ID1=611776&amp;VALUEID=02001&amp;SDATE=201101&amp;PERIODTYPE=SEMI_STD&amp;window=popup_no_bar&amp;width=385&amp;height=120&amp;START_MAXIMIZED=FALSE&amp;creator=factset&amp;display_string=Audit"}</definedName>
    <definedName name="_52__FDSAUDITLINK___1" hidden="1">{"fdsup://Directions/FactSet Auditing Viewer?action=AUDIT_VALUE&amp;DB=129&amp;ID1=611776&amp;VALUEID=02001&amp;SDATE=201101&amp;PERIODTYPE=SEMI_STD&amp;window=popup_no_bar&amp;width=385&amp;height=120&amp;START_MAXIMIZED=FALSE&amp;creator=factset&amp;display_string=Audit"}</definedName>
    <definedName name="_522__123Graph_ECHART_10" hidden="1">#REF!</definedName>
    <definedName name="_523__123Graph_ECHART_11" hidden="1">#REF!</definedName>
    <definedName name="_524__123Graph_CCHART_9" hidden="1">#REF!</definedName>
    <definedName name="_524__123Graph_ECHART_2" hidden="1">#REF!</definedName>
    <definedName name="_525__123Graph_DCHART_1" hidden="1">#REF!</definedName>
    <definedName name="_525__123Graph_ECHART_66" hidden="1">#REF!</definedName>
    <definedName name="_526__123Graph_ECHART_68" hidden="1">#REF!</definedName>
    <definedName name="_53__FDSAUDITLINK__" hidden="1">{"fdsup://Directions/FactSet Auditing Viewer?action=AUDIT_VALUE&amp;DB=129&amp;ID1=600346&amp;VALUEID=02001&amp;SDATE=201002&amp;PERIODTYPE=SEMI_STD&amp;window=popup_no_bar&amp;width=385&amp;height=120&amp;START_MAXIMIZED=FALSE&amp;creator=factset&amp;display_string=Audit"}</definedName>
    <definedName name="_53__FDSAUDITLINK___1" hidden="1">{"fdsup://Directions/FactSet Auditing Viewer?action=AUDIT_VALUE&amp;DB=129&amp;ID1=600346&amp;VALUEID=02001&amp;SDATE=201002&amp;PERIODTYPE=SEMI_STD&amp;window=popup_no_bar&amp;width=385&amp;height=120&amp;START_MAXIMIZED=FALSE&amp;creator=factset&amp;display_string=Audit"}</definedName>
    <definedName name="_533__123Graph_DCHART_10" hidden="1">#REF!</definedName>
    <definedName name="_534__123Graph_DCHART_11" hidden="1">#REF!</definedName>
    <definedName name="_534__123Graph_FCHART_10" hidden="1">#REF!</definedName>
    <definedName name="_535__123Graph_DCHART_13" hidden="1">#REF!</definedName>
    <definedName name="_536__123Graph_DCHART_16" hidden="1">#REF!</definedName>
    <definedName name="_537__123Graph_DCHART_2" hidden="1">#REF!</definedName>
    <definedName name="_538__123Graph_DCHART_66" hidden="1">#REF!</definedName>
    <definedName name="_539__123Graph_DCHART_68" hidden="1">#REF!</definedName>
    <definedName name="_54__FDSAUDITLINK__" hidden="1">{"fdsup://Directions/FactSet Auditing Viewer?action=AUDIT_VALUE&amp;DB=129&amp;ID1=627791&amp;VALUEID=7033030900&amp;SDATE=201101&amp;PERIODTYPE=SEMI_DET&amp;window=popup_no_bar&amp;width=385&amp;height=120&amp;START_MAXIMIZED=FALSE&amp;creator=factset&amp;display_string=Audit"}</definedName>
    <definedName name="_54__FDSAUDITLINK___1" hidden="1">{"fdsup://Directions/FactSet Auditing Viewer?action=AUDIT_VALUE&amp;DB=129&amp;ID1=627791&amp;VALUEID=7033030900&amp;SDATE=201101&amp;PERIODTYPE=SEMI_DET&amp;window=popup_no_bar&amp;width=385&amp;height=120&amp;START_MAXIMIZED=FALSE&amp;creator=factset&amp;display_string=Audit"}</definedName>
    <definedName name="_540__123Graph_DCHART_70" hidden="1">#REF!</definedName>
    <definedName name="_548__123Graph_ECHART_10" hidden="1">#REF!</definedName>
    <definedName name="_548__123Graph_XCHART_10" hidden="1">#REF!</definedName>
    <definedName name="_549__123Graph_ECHART_11" hidden="1">#REF!</definedName>
    <definedName name="_55__FDSAUDITLINK__" hidden="1">{"fdsup://Directions/FactSet Auditing Viewer?action=AUDIT_VALUE&amp;DB=129&amp;ID1=627791&amp;VALUEID=02001&amp;SDATE=201101&amp;PERIODTYPE=SEMI_STD&amp;window=popup_no_bar&amp;width=385&amp;height=120&amp;START_MAXIMIZED=FALSE&amp;creator=factset&amp;display_string=Audit"}</definedName>
    <definedName name="_55__FDSAUDITLINK___1" hidden="1">{"fdsup://Directions/FactSet Auditing Viewer?action=AUDIT_VALUE&amp;DB=129&amp;ID1=627791&amp;VALUEID=02001&amp;SDATE=201101&amp;PERIODTYPE=SEMI_STD&amp;window=popup_no_bar&amp;width=385&amp;height=120&amp;START_MAXIMIZED=FALSE&amp;creator=factset&amp;display_string=Audit"}</definedName>
    <definedName name="_550__123Graph_ECHART_2" hidden="1">#REF!</definedName>
    <definedName name="_551__123Graph_ECHART_66" hidden="1">#REF!</definedName>
    <definedName name="_552__123Graph_ECHART_68" hidden="1">#REF!</definedName>
    <definedName name="_56__FDSAUDITLINK__" hidden="1">{"fdsup://Directions/FactSet Auditing Viewer?action=AUDIT_VALUE&amp;DB=129&amp;ID1=B04C8F&amp;VALUEID=02001&amp;SDATE=201101&amp;PERIODTYPE=SEMI_STD&amp;window=popup_no_bar&amp;width=385&amp;height=120&amp;START_MAXIMIZED=FALSE&amp;creator=factset&amp;display_string=Audit"}</definedName>
    <definedName name="_56__FDSAUDITLINK___1" hidden="1">{"fdsup://Directions/FactSet Auditing Viewer?action=AUDIT_VALUE&amp;DB=129&amp;ID1=B04C8F&amp;VALUEID=02001&amp;SDATE=201101&amp;PERIODTYPE=SEMI_STD&amp;window=popup_no_bar&amp;width=385&amp;height=120&amp;START_MAXIMIZED=FALSE&amp;creator=factset&amp;display_string=Audit"}</definedName>
    <definedName name="_560__123Graph_FCHART_10" hidden="1">#REF!</definedName>
    <definedName name="_562__123Graph_XCHART_11" hidden="1">#REF!</definedName>
    <definedName name="_563__123Graph_XCHART_12" hidden="1">#REF!</definedName>
    <definedName name="_564__123Graph_XCHART_13" hidden="1">#REF!</definedName>
    <definedName name="_565__123Graph_XCHART_14" hidden="1">#REF!</definedName>
    <definedName name="_566__123Graph_XCHART_15" hidden="1">#REF!</definedName>
    <definedName name="_567__123Graph_XCHART_16" hidden="1">#REF!</definedName>
    <definedName name="_57__FDSAUDITLINK__" hidden="1">{"fdsup://Directions/FactSet Auditing Viewer?action=AUDIT_VALUE&amp;DB=129&amp;ID1=646707&amp;VALUEID=02001&amp;SDATE=201101&amp;PERIODTYPE=SEMI_STD&amp;window=popup_no_bar&amp;width=385&amp;height=120&amp;START_MAXIMIZED=FALSE&amp;creator=factset&amp;display_string=Audit"}</definedName>
    <definedName name="_57__FDSAUDITLINK___1" hidden="1">{"fdsup://Directions/FactSet Auditing Viewer?action=AUDIT_VALUE&amp;DB=129&amp;ID1=646707&amp;VALUEID=02001&amp;SDATE=201101&amp;PERIODTYPE=SEMI_STD&amp;window=popup_no_bar&amp;width=385&amp;height=120&amp;START_MAXIMIZED=FALSE&amp;creator=factset&amp;display_string=Audit"}</definedName>
    <definedName name="_575__123Graph_XCHART_10" hidden="1">#REF!</definedName>
    <definedName name="_58__FDSAUDITLINK__" hidden="1">{"fdsup://Directions/FactSet Auditing Viewer?action=AUDIT_VALUE&amp;DB=129&amp;ID1=629372&amp;VALUEID=7033030900&amp;SDATE=201002&amp;PERIODTYPE=SEMI_DET&amp;window=popup_no_bar&amp;width=385&amp;height=120&amp;START_MAXIMIZED=FALSE&amp;creator=factset&amp;display_string=Audit"}</definedName>
    <definedName name="_58__FDSAUDITLINK___1" hidden="1">{"fdsup://Directions/FactSet Auditing Viewer?action=AUDIT_VALUE&amp;DB=129&amp;ID1=629372&amp;VALUEID=7033030900&amp;SDATE=201002&amp;PERIODTYPE=SEMI_DET&amp;window=popup_no_bar&amp;width=385&amp;height=120&amp;START_MAXIMIZED=FALSE&amp;creator=factset&amp;display_string=Audit"}</definedName>
    <definedName name="_581__123Graph_XCHART_2" hidden="1">#REF!</definedName>
    <definedName name="_59__FDSAUDITLINK__" hidden="1">{"fdsup://Directions/FactSet Auditing Viewer?action=AUDIT_VALUE&amp;DB=129&amp;ID1=629372&amp;VALUEID=02001&amp;SDATE=201101&amp;PERIODTYPE=SEMI_STD&amp;window=popup_no_bar&amp;width=385&amp;height=120&amp;START_MAXIMIZED=FALSE&amp;creator=factset&amp;display_string=Audit"}</definedName>
    <definedName name="_59__FDSAUDITLINK___1" hidden="1">{"fdsup://Directions/FactSet Auditing Viewer?action=AUDIT_VALUE&amp;DB=129&amp;ID1=629372&amp;VALUEID=02001&amp;SDATE=201101&amp;PERIODTYPE=SEMI_STD&amp;window=popup_no_bar&amp;width=385&amp;height=120&amp;START_MAXIMIZED=FALSE&amp;creator=factset&amp;display_string=Audit"}</definedName>
    <definedName name="_590__123Graph_XCHART_11" hidden="1">#REF!</definedName>
    <definedName name="_591__123Graph_XCHART_12" hidden="1">#REF!</definedName>
    <definedName name="_592__123Graph_XCHART_13" hidden="1">#REF!</definedName>
    <definedName name="_593__123Graph_XCHART_14" hidden="1">#REF!</definedName>
    <definedName name="_594__123Graph_XCHART_15" hidden="1">#REF!</definedName>
    <definedName name="_595__123Graph_XCHART_16" hidden="1">#REF!</definedName>
    <definedName name="_595__123Graph_XCHART_3" hidden="1">#REF!</definedName>
    <definedName name="_596__123Graph_XCHART_35" hidden="1">#REF!</definedName>
    <definedName name="_6__FDSAUDITLINK__" hidden="1">{"fdsup://directions/FAT Viewer?action=UPDATE&amp;creator=factset&amp;DYN_ARGS=TRUE&amp;DOC_NAME=FAT:FQL_AUDITING_CLIENT_TEMPLATE.FAT&amp;display_string=Audit&amp;VAR:KEY=KVEJEFQVSB&amp;VAR:QUERY=KChGRl9ERUJUKFFUUiwwKUBGRl9ERUJUKFNFTUksMCkpQEZGX0RFQlQoQU5OLDApKQ==&amp;WINDOW=FIRST_POP","UP&amp;HEIGHT=450&amp;WIDTH=450&amp;START_MAXIMIZED=FALSE&amp;VAR:CALENDAR=FIVEDAY&amp;VAR:INDEX=0"}</definedName>
    <definedName name="_6__FDSAUDITLINK___1" hidden="1">{"fdsup://directions/FAT Viewer?action=UPDATE&amp;creator=factset&amp;DYN_ARGS=TRUE&amp;DOC_NAME=FAT:FQL_AUDITING_CLIENT_TEMPLATE.FAT&amp;display_string=Audit&amp;VAR:KEY=KVEJEFQVSB&amp;VAR:QUERY=KChGRl9ERUJUKFFUUiwwKUBGRl9ERUJUKFNFTUksMCkpQEZGX0RFQlQoQU5OLDApKQ==&amp;WINDOW=FIRST_POP","UP&amp;HEIGHT=450&amp;WIDTH=450&amp;START_MAXIMIZED=FALSE&amp;VAR:CALENDAR=FIVEDAY&amp;VAR:INDEX=0"}</definedName>
    <definedName name="_60__123Graph_ACHART_12" hidden="1">#REF!</definedName>
    <definedName name="_60__FDSAUDITLINK__" hidden="1">{"fdsup://Directions/FactSet Auditing Viewer?action=AUDIT_VALUE&amp;DB=129&amp;ID1=B0744W&amp;VALUEID=02001&amp;SDATE=201001&amp;PERIODTYPE=SEMI_STD&amp;window=popup_no_bar&amp;width=385&amp;height=120&amp;START_MAXIMIZED=FALSE&amp;creator=factset&amp;display_string=Audit"}</definedName>
    <definedName name="_60__FDSAUDITLINK___1" hidden="1">{"fdsup://Directions/FactSet Auditing Viewer?action=AUDIT_VALUE&amp;DB=129&amp;ID1=B0744W&amp;VALUEID=02001&amp;SDATE=201001&amp;PERIODTYPE=SEMI_STD&amp;window=popup_no_bar&amp;width=385&amp;height=120&amp;START_MAXIMIZED=FALSE&amp;creator=factset&amp;display_string=Audit"}</definedName>
    <definedName name="_61__FDSAUDITLINK__" hidden="1">{"fdsup://Directions/FactSet Auditing Viewer?action=AUDIT_VALUE&amp;DB=129&amp;ID1=B0LCW7&amp;VALUEID=7033030900&amp;SDATE=201101&amp;PERIODTYPE=SEMI_DET&amp;window=popup_no_bar&amp;width=385&amp;height=120&amp;START_MAXIMIZED=FALSE&amp;creator=factset&amp;display_string=Audit"}</definedName>
    <definedName name="_61__FDSAUDITLINK___1" hidden="1">{"fdsup://Directions/FactSet Auditing Viewer?action=AUDIT_VALUE&amp;DB=129&amp;ID1=B0LCW7&amp;VALUEID=7033030900&amp;SDATE=201101&amp;PERIODTYPE=SEMI_DET&amp;window=popup_no_bar&amp;width=385&amp;height=120&amp;START_MAXIMIZED=FALSE&amp;creator=factset&amp;display_string=Audit"}</definedName>
    <definedName name="_610__123Graph_XCHART_2" hidden="1">#REF!</definedName>
    <definedName name="_610__123Graph_XCHART_4" hidden="1">#REF!</definedName>
    <definedName name="_62__FDSAUDITLINK__" hidden="1">{"fdsup://Directions/FactSet Auditing Viewer?action=AUDIT_VALUE&amp;DB=129&amp;ID1=B0LCW7&amp;VALUEID=02001&amp;SDATE=201101&amp;PERIODTYPE=SEMI_STD&amp;window=popup_no_bar&amp;width=385&amp;height=120&amp;START_MAXIMIZED=FALSE&amp;creator=factset&amp;display_string=Audit"}</definedName>
    <definedName name="_62__FDSAUDITLINK___1" hidden="1">{"fdsup://Directions/FactSet Auditing Viewer?action=AUDIT_VALUE&amp;DB=129&amp;ID1=B0LCW7&amp;VALUEID=02001&amp;SDATE=201101&amp;PERIODTYPE=SEMI_STD&amp;window=popup_no_bar&amp;width=385&amp;height=120&amp;START_MAXIMIZED=FALSE&amp;creator=factset&amp;display_string=Audit"}</definedName>
    <definedName name="_624__123Graph_XCHART_5" hidden="1">#REF!</definedName>
    <definedName name="_625__123Graph_XCHART_3" hidden="1">#REF!</definedName>
    <definedName name="_626__123Graph_XCHART_35" hidden="1">#REF!</definedName>
    <definedName name="_63__FDSAUDITLINK__" hidden="1">{"fdsup://Directions/FactSet Auditing Viewer?action=AUDIT_VALUE&amp;DB=129&amp;ID1=626798&amp;VALUEID=7033030900&amp;SDATE=201101&amp;PERIODTYPE=SEMI_DET&amp;window=popup_no_bar&amp;width=385&amp;height=120&amp;START_MAXIMIZED=FALSE&amp;creator=factset&amp;display_string=Audit"}</definedName>
    <definedName name="_63__FDSAUDITLINK___1" hidden="1">{"fdsup://Directions/FactSet Auditing Viewer?action=AUDIT_VALUE&amp;DB=129&amp;ID1=626798&amp;VALUEID=7033030900&amp;SDATE=201101&amp;PERIODTYPE=SEMI_DET&amp;window=popup_no_bar&amp;width=385&amp;height=120&amp;START_MAXIMIZED=FALSE&amp;creator=factset&amp;display_string=Audit"}</definedName>
    <definedName name="_638__123Graph_XCHART_6" hidden="1">#REF!</definedName>
    <definedName name="_64__123Graph_ACHART_12" hidden="1">#REF!</definedName>
    <definedName name="_64__FDSAUDITLINK__" hidden="1">{"fdsup://directions/FAT Viewer?action=UPDATE&amp;creator=factset&amp;DYN_ARGS=TRUE&amp;DOC_NAME=FAT:FQL_AUDITING_CLIENT_TEMPLATE.FAT&amp;display_string=Audit&amp;VAR:KEY=KVEJEFQVSB&amp;VAR:QUERY=KChGRl9ERUJUKFFUUiwwKUBGRl9ERUJUKFNFTUksMCkpQEZGX0RFQlQoQU5OLDApKQ==&amp;WINDOW=FIRST_POP","UP&amp;HEIGHT=450&amp;WIDTH=450&amp;START_MAXIMIZED=FALSE&amp;VAR:CALENDAR=FIVEDAY&amp;VAR:INDEX=0"}</definedName>
    <definedName name="_64__FDSAUDITLINK___1" hidden="1">{"fdsup://directions/FAT Viewer?action=UPDATE&amp;creator=factset&amp;DYN_ARGS=TRUE&amp;DOC_NAME=FAT:FQL_AUDITING_CLIENT_TEMPLATE.FAT&amp;display_string=Audit&amp;VAR:KEY=KVEJEFQVSB&amp;VAR:QUERY=KChGRl9ERUJUKFFUUiwwKUBGRl9ERUJUKFNFTUksMCkpQEZGX0RFQlQoQU5OLDApKQ==&amp;WINDOW=FIRST_POP","UP&amp;HEIGHT=450&amp;WIDTH=450&amp;START_MAXIMIZED=FALSE&amp;VAR:CALENDAR=FIVEDAY&amp;VAR:INDEX=0"}</definedName>
    <definedName name="_641__123Graph_XCHART_4" hidden="1">#REF!</definedName>
    <definedName name="_648__FDSAUDITLINK__" hidden="1">{"fdsup://directions/FAT Viewer?action=UPDATE&amp;creator=factset&amp;DYN_ARGS=TRUE&amp;DOC_NAME=FAT:FQL_AUDITING_CLIENT_TEMPLATE.FAT&amp;display_string=Audit&amp;VAR:KEY=OHIJCRYHKH&amp;VAR:QUERY=RklSU1RfSVRFTV9BVihGRl9DQVNIX1NUKE1PTiwwLCwsLElOUikp&amp;WINDOW=FIRST_POPUP&amp;HEIGHT=450&amp;WI","DTH=450&amp;START_MAXIMIZED=FALSE&amp;VAR:CALENDAR=FIVEDAY&amp;VAR:SYMBOL=B128WL"}</definedName>
    <definedName name="_648__FDSAUDITLINK___1" hidden="1">{"fdsup://directions/FAT Viewer?action=UPDATE&amp;creator=factset&amp;DYN_ARGS=TRUE&amp;DOC_NAME=FAT:FQL_AUDITING_CLIENT_TEMPLATE.FAT&amp;display_string=Audit&amp;VAR:KEY=OHIJCRYHKH&amp;VAR:QUERY=RklSU1RfSVRFTV9BVihGRl9DQVNIX1NUKE1PTiwwLCwsLElOUikp&amp;WINDOW=FIRST_POPUP&amp;HEIGHT=450&amp;WI","DTH=450&amp;START_MAXIMIZED=FALSE&amp;VAR:CALENDAR=FIVEDAY&amp;VAR:SYMBOL=B128WL"}</definedName>
    <definedName name="_649__FDSAUDITLINK__" hidden="1">{"fdsup://Directions/FactSet Auditing Viewer?action=AUDIT_VALUE&amp;DB=129&amp;ID1=B128WL&amp;VALUEID=01001&amp;SDATE=2009&amp;PERIODTYPE=ANN_STD&amp;SCFT=3&amp;window=popup_no_bar&amp;width=385&amp;height=120&amp;START_MAXIMIZED=FALSE&amp;creator=factset&amp;display_string=Audit"}</definedName>
    <definedName name="_649__FDSAUDITLINK___1" hidden="1">{"fdsup://Directions/FactSet Auditing Viewer?action=AUDIT_VALUE&amp;DB=129&amp;ID1=B128WL&amp;VALUEID=01001&amp;SDATE=2009&amp;PERIODTYPE=ANN_STD&amp;SCFT=3&amp;window=popup_no_bar&amp;width=385&amp;height=120&amp;START_MAXIMIZED=FALSE&amp;creator=factset&amp;display_string=Audit"}</definedName>
    <definedName name="_650__FDSAUDITLINK__" hidden="1">{"fdsup://Directions/FactSet Auditing Viewer?action=AUDIT_VALUE&amp;DB=129&amp;ID1=B128WL&amp;VALUEID=01001&amp;SDATE=2010&amp;PERIODTYPE=ANN_STD&amp;SCFT=3&amp;window=popup_no_bar&amp;width=385&amp;height=120&amp;START_MAXIMIZED=FALSE&amp;creator=factset&amp;display_string=Audit"}</definedName>
    <definedName name="_650__FDSAUDITLINK___1" hidden="1">{"fdsup://Directions/FactSet Auditing Viewer?action=AUDIT_VALUE&amp;DB=129&amp;ID1=B128WL&amp;VALUEID=01001&amp;SDATE=2010&amp;PERIODTYPE=ANN_STD&amp;SCFT=3&amp;window=popup_no_bar&amp;width=385&amp;height=120&amp;START_MAXIMIZED=FALSE&amp;creator=factset&amp;display_string=Audit"}</definedName>
    <definedName name="_651__FDSAUDITLINK__" hidden="1">{"fdsup://Directions/FactSet Auditing Viewer?action=AUDIT_VALUE&amp;DB=129&amp;ID1=B128WL&amp;VALUEID=01551&amp;SDATE=2009&amp;PERIODTYPE=ANN_STD&amp;SCFT=3&amp;window=popup_no_bar&amp;width=385&amp;height=120&amp;START_MAXIMIZED=FALSE&amp;creator=factset&amp;display_string=Audit"}</definedName>
    <definedName name="_651__FDSAUDITLINK___1" hidden="1">{"fdsup://Directions/FactSet Auditing Viewer?action=AUDIT_VALUE&amp;DB=129&amp;ID1=B128WL&amp;VALUEID=01551&amp;SDATE=2009&amp;PERIODTYPE=ANN_STD&amp;SCFT=3&amp;window=popup_no_bar&amp;width=385&amp;height=120&amp;START_MAXIMIZED=FALSE&amp;creator=factset&amp;display_string=Audit"}</definedName>
    <definedName name="_652__123Graph_XCHART_7" hidden="1">#REF!</definedName>
    <definedName name="_652__FDSAUDITLINK__" hidden="1">{"fdsup://Directions/FactSet Auditing Viewer?action=AUDIT_VALUE&amp;DB=129&amp;ID1=B128WL&amp;VALUEID=01250&amp;SDATE=2010&amp;PERIODTYPE=ANN_STD&amp;SCFT=3&amp;window=popup_no_bar&amp;width=385&amp;height=120&amp;START_MAXIMIZED=FALSE&amp;creator=factset&amp;display_string=Audit"}</definedName>
    <definedName name="_652__FDSAUDITLINK___1" hidden="1">{"fdsup://Directions/FactSet Auditing Viewer?action=AUDIT_VALUE&amp;DB=129&amp;ID1=B128WL&amp;VALUEID=01250&amp;SDATE=2010&amp;PERIODTYPE=ANN_STD&amp;SCFT=3&amp;window=popup_no_bar&amp;width=385&amp;height=120&amp;START_MAXIMIZED=FALSE&amp;creator=factset&amp;display_string=Audit"}</definedName>
    <definedName name="_653__123Graph_XCHART_71" hidden="1">#REF!</definedName>
    <definedName name="_656__123Graph_XCHART_5" hidden="1">#REF!</definedName>
    <definedName name="_657__FDSAUDITLINK__" hidden="1">{"fdsup://directions/FAT Viewer?action=UPDATE&amp;creator=factset&amp;DYN_ARGS=TRUE&amp;DOC_NAME=FAT:FQL_AUDITING_CLIENT_TEMPLATE.FAT&amp;display_string=Audit&amp;VAR:KEY=JCDKLYBKTA&amp;VAR:QUERY=RklSU1RfSVRFTV9BVihGRl9QRkRfU1RLKE1PTiwwLCwsLEFVRCkp&amp;WINDOW=FIRST_POPUP&amp;HEIGHT=450&amp;WI","DTH=450&amp;START_MAXIMIZED=FALSE&amp;VAR:CALENDAR=FIVEDAY&amp;VAR:SYMBOL=610837"}</definedName>
    <definedName name="_657__FDSAUDITLINK___1" hidden="1">{"fdsup://directions/FAT Viewer?action=UPDATE&amp;creator=factset&amp;DYN_ARGS=TRUE&amp;DOC_NAME=FAT:FQL_AUDITING_CLIENT_TEMPLATE.FAT&amp;display_string=Audit&amp;VAR:KEY=JCDKLYBKTA&amp;VAR:QUERY=RklSU1RfSVRFTV9BVihGRl9QRkRfU1RLKE1PTiwwLCwsLEFVRCkp&amp;WINDOW=FIRST_POPUP&amp;HEIGHT=450&amp;WI","DTH=450&amp;START_MAXIMIZED=FALSE&amp;VAR:CALENDAR=FIVEDAY&amp;VAR:SYMBOL=610837"}</definedName>
    <definedName name="_658__FDSAUDITLINK__" hidden="1">{"fdsup://directions/FAT Viewer?action=UPDATE&amp;creator=factset&amp;DYN_ARGS=TRUE&amp;DOC_NAME=FAT:FQL_AUDITING_CLIENT_TEMPLATE.FAT&amp;display_string=Audit&amp;VAR:KEY=IBUFCJUNUV&amp;VAR:QUERY=RklSU1RfSVRFTV9BVihGRl9NSU5fSU5UX0FDQ1VNKE1PTiwwLCwsLEFVRCkp&amp;WINDOW=FIRST_POPUP&amp;HEIGH","T=450&amp;WIDTH=450&amp;START_MAXIMIZED=FALSE&amp;VAR:CALENDAR=FIVEDAY&amp;VAR:SYMBOL=610837"}</definedName>
    <definedName name="_658__FDSAUDITLINK___1" hidden="1">{"fdsup://directions/FAT Viewer?action=UPDATE&amp;creator=factset&amp;DYN_ARGS=TRUE&amp;DOC_NAME=FAT:FQL_AUDITING_CLIENT_TEMPLATE.FAT&amp;display_string=Audit&amp;VAR:KEY=IBUFCJUNUV&amp;VAR:QUERY=RklSU1RfSVRFTV9BVihGRl9NSU5fSU5UX0FDQ1VNKE1PTiwwLCwsLEFVRCkp&amp;WINDOW=FIRST_POPUP&amp;HEIGH","T=450&amp;WIDTH=450&amp;START_MAXIMIZED=FALSE&amp;VAR:CALENDAR=FIVEDAY&amp;VAR:SYMBOL=610837"}</definedName>
    <definedName name="_659__FDSAUDITLINK__" hidden="1">{"fdsup://directions/FAT Viewer?action=UPDATE&amp;creator=factset&amp;DYN_ARGS=TRUE&amp;DOC_NAME=FAT:FQL_AUDITING_CLIENT_TEMPLATE.FAT&amp;display_string=Audit&amp;VAR:KEY=LMVWHMVEDU&amp;VAR:QUERY=RklSU1RfSVRFTV9BVihGRl9DQVNIX1NUKE1PTiwwLCwsLEFVRCkp&amp;WINDOW=FIRST_POPUP&amp;HEIGHT=450&amp;WI","DTH=450&amp;START_MAXIMIZED=FALSE&amp;VAR:CALENDAR=FIVEDAY&amp;VAR:SYMBOL=610837"}</definedName>
    <definedName name="_659__FDSAUDITLINK___1" hidden="1">{"fdsup://directions/FAT Viewer?action=UPDATE&amp;creator=factset&amp;DYN_ARGS=TRUE&amp;DOC_NAME=FAT:FQL_AUDITING_CLIENT_TEMPLATE.FAT&amp;display_string=Audit&amp;VAR:KEY=LMVWHMVEDU&amp;VAR:QUERY=RklSU1RfSVRFTV9BVihGRl9DQVNIX1NUKE1PTiwwLCwsLEFVRCkp&amp;WINDOW=FIRST_POPUP&amp;HEIGHT=450&amp;WI","DTH=450&amp;START_MAXIMIZED=FALSE&amp;VAR:CALENDAR=FIVEDAY&amp;VAR:SYMBOL=610837"}</definedName>
    <definedName name="_66__FDSAUDITLINK__" hidden="1">{"fdsup://Directions/FactSet Auditing Viewer?action=AUDIT_VALUE&amp;DB=129&amp;ID1=618041&amp;VALUEID=02001&amp;SDATE=201101&amp;PERIODTYPE=SEMI_STD&amp;window=popup_no_bar&amp;width=385&amp;height=120&amp;START_MAXIMIZED=FALSE&amp;creator=factset&amp;display_string=Audit"}</definedName>
    <definedName name="_66__FDSAUDITLINK___1" hidden="1">{"fdsup://Directions/FactSet Auditing Viewer?action=AUDIT_VALUE&amp;DB=129&amp;ID1=618041&amp;VALUEID=02001&amp;SDATE=201101&amp;PERIODTYPE=SEMI_STD&amp;window=popup_no_bar&amp;width=385&amp;height=120&amp;START_MAXIMIZED=FALSE&amp;creator=factset&amp;display_string=Audit"}</definedName>
    <definedName name="_660__FDSAUDITLINK__" hidden="1">{"fdsup://directions/FAT Viewer?action=UPDATE&amp;creator=factset&amp;DYN_ARGS=TRUE&amp;DOC_NAME=FAT:FQL_AUDITING_CLIENT_TEMPLATE.FAT&amp;display_string=Audit&amp;VAR:KEY=ARINQPGXYR&amp;VAR:QUERY=RklSU1RfSVRFTV9BVihGRl9ERUJUKE1PTiwwLCwsLEFVRCkp&amp;WINDOW=FIRST_POPUP&amp;HEIGHT=450&amp;WIDTH=","450&amp;START_MAXIMIZED=FALSE&amp;VAR:CALENDAR=FIVEDAY&amp;VAR:SYMBOL=610837"}</definedName>
    <definedName name="_660__FDSAUDITLINK___1" hidden="1">{"fdsup://directions/FAT Viewer?action=UPDATE&amp;creator=factset&amp;DYN_ARGS=TRUE&amp;DOC_NAME=FAT:FQL_AUDITING_CLIENT_TEMPLATE.FAT&amp;display_string=Audit&amp;VAR:KEY=ARINQPGXYR&amp;VAR:QUERY=RklSU1RfSVRFTV9BVihGRl9ERUJUKE1PTiwwLCwsLEFVRCkp&amp;WINDOW=FIRST_POPUP&amp;HEIGHT=450&amp;WIDTH=","450&amp;START_MAXIMIZED=FALSE&amp;VAR:CALENDAR=FIVEDAY&amp;VAR:SYMBOL=610837"}</definedName>
    <definedName name="_661__FDSAUDITLINK__" hidden="1">{"fdsup://Directions/FactSet Auditing Viewer?action=AUDIT_VALUE&amp;DB=129&amp;ID1=B128WL&amp;VALUEID=04601&amp;SDATE=2009&amp;PERIODTYPE=ANN_STD&amp;SCFT=3&amp;window=popup_no_bar&amp;width=385&amp;height=120&amp;START_MAXIMIZED=FALSE&amp;creator=factset&amp;display_string=Audit"}</definedName>
    <definedName name="_661__FDSAUDITLINK___1" hidden="1">{"fdsup://Directions/FactSet Auditing Viewer?action=AUDIT_VALUE&amp;DB=129&amp;ID1=B128WL&amp;VALUEID=04601&amp;SDATE=2009&amp;PERIODTYPE=ANN_STD&amp;SCFT=3&amp;window=popup_no_bar&amp;width=385&amp;height=120&amp;START_MAXIMIZED=FALSE&amp;creator=factset&amp;display_string=Audit"}</definedName>
    <definedName name="_662__FDSAUDITLINK__" hidden="1">{"fdsup://directions/FAT Viewer?action=UPDATE&amp;creator=factset&amp;DYN_ARGS=TRUE&amp;DOC_NAME=FAT:FQL_AUDITING_CLIENT_TEMPLATE.FAT&amp;display_string=Audit&amp;VAR:KEY=HCZAPQRWFE&amp;VAR:QUERY=RklSU1RfSVRFTV9BVihGRl9NSU5fSU5UX0FDQ1VNKE1PTiwwLCwsLElOUikp&amp;WINDOW=FIRST_POPUP&amp;HEIGH","T=450&amp;WIDTH=450&amp;START_MAXIMIZED=FALSE&amp;VAR:CALENDAR=FIVEDAY&amp;VAR:SYMBOL=B128WL"}</definedName>
    <definedName name="_662__FDSAUDITLINK___1" hidden="1">{"fdsup://directions/FAT Viewer?action=UPDATE&amp;creator=factset&amp;DYN_ARGS=TRUE&amp;DOC_NAME=FAT:FQL_AUDITING_CLIENT_TEMPLATE.FAT&amp;display_string=Audit&amp;VAR:KEY=HCZAPQRWFE&amp;VAR:QUERY=RklSU1RfSVRFTV9BVihGRl9NSU5fSU5UX0FDQ1VNKE1PTiwwLCwsLElOUikp&amp;WINDOW=FIRST_POPUP&amp;HEIGH","T=450&amp;WIDTH=450&amp;START_MAXIMIZED=FALSE&amp;VAR:CALENDAR=FIVEDAY&amp;VAR:SYMBOL=B128WL"}</definedName>
    <definedName name="_663__FDSAUDITLINK__" hidden="1">{"fdsup://directions/FAT Viewer?action=UPDATE&amp;creator=factset&amp;DYN_ARGS=TRUE&amp;DOC_NAME=FAT:FQL_AUDITING_CLIENT_TEMPLATE.FAT&amp;display_string=Audit&amp;VAR:KEY=LYXOLEDOJS&amp;VAR:QUERY=RklSU1RfSVRFTV9BVihGRl9ERUJUKE1PTiwwLCwsLElOUikp&amp;WINDOW=FIRST_POPUP&amp;HEIGHT=450&amp;WIDTH=","450&amp;START_MAXIMIZED=FALSE&amp;VAR:CALENDAR=FIVEDAY&amp;VAR:SYMBOL=B128WL"}</definedName>
    <definedName name="_663__FDSAUDITLINK___1" hidden="1">{"fdsup://directions/FAT Viewer?action=UPDATE&amp;creator=factset&amp;DYN_ARGS=TRUE&amp;DOC_NAME=FAT:FQL_AUDITING_CLIENT_TEMPLATE.FAT&amp;display_string=Audit&amp;VAR:KEY=LYXOLEDOJS&amp;VAR:QUERY=RklSU1RfSVRFTV9BVihGRl9ERUJUKE1PTiwwLCwsLElOUikp&amp;WINDOW=FIRST_POPUP&amp;HEIGHT=450&amp;WIDTH=","450&amp;START_MAXIMIZED=FALSE&amp;VAR:CALENDAR=FIVEDAY&amp;VAR:SYMBOL=B128WL"}</definedName>
    <definedName name="_664__FDSAUDITLINK__" hidden="1">{"fdsup://Directions/FactSet Auditing Viewer?action=AUDIT_VALUE&amp;DB=129&amp;ID1=B128WL&amp;VALUEID=04601&amp;SDATE=2010&amp;PERIODTYPE=ANN_STD&amp;SCFT=3&amp;window=popup_no_bar&amp;width=385&amp;height=120&amp;START_MAXIMIZED=FALSE&amp;creator=factset&amp;display_string=Audit"}</definedName>
    <definedName name="_664__FDSAUDITLINK___1" hidden="1">{"fdsup://Directions/FactSet Auditing Viewer?action=AUDIT_VALUE&amp;DB=129&amp;ID1=B128WL&amp;VALUEID=04601&amp;SDATE=2010&amp;PERIODTYPE=ANN_STD&amp;SCFT=3&amp;window=popup_no_bar&amp;width=385&amp;height=120&amp;START_MAXIMIZED=FALSE&amp;creator=factset&amp;display_string=Audit"}</definedName>
    <definedName name="_665__FDSAUDITLINK__" hidden="1">{"fdsup://Directions/FactSet Auditing Viewer?action=AUDIT_VALUE&amp;DB=129&amp;ID1=B128WL&amp;VALUEID=01250&amp;SDATE=2010&amp;PERIODTYPE=ANN_STD&amp;SCFT=3&amp;window=popup_no_bar&amp;width=385&amp;height=120&amp;START_MAXIMIZED=FALSE&amp;creator=factset&amp;display_string=Audit"}</definedName>
    <definedName name="_665__FDSAUDITLINK___1" hidden="1">{"fdsup://Directions/FactSet Auditing Viewer?action=AUDIT_VALUE&amp;DB=129&amp;ID1=B128WL&amp;VALUEID=01250&amp;SDATE=2010&amp;PERIODTYPE=ANN_STD&amp;SCFT=3&amp;window=popup_no_bar&amp;width=385&amp;height=120&amp;START_MAXIMIZED=FALSE&amp;creator=factset&amp;display_string=Audit"}</definedName>
    <definedName name="_666__FDSAUDITLINK__" hidden="1">{"fdsup://Directions/FactSet Auditing Viewer?action=AUDIT_VALUE&amp;DB=129&amp;ID1=B128WL&amp;VALUEID=01250&amp;SDATE=2009&amp;PERIODTYPE=ANN_STD&amp;SCFT=3&amp;window=popup_no_bar&amp;width=385&amp;height=120&amp;START_MAXIMIZED=FALSE&amp;creator=factset&amp;display_string=Audit"}</definedName>
    <definedName name="_666__FDSAUDITLINK___1" hidden="1">{"fdsup://Directions/FactSet Auditing Viewer?action=AUDIT_VALUE&amp;DB=129&amp;ID1=B128WL&amp;VALUEID=01250&amp;SDATE=2009&amp;PERIODTYPE=ANN_STD&amp;SCFT=3&amp;window=popup_no_bar&amp;width=385&amp;height=120&amp;START_MAXIMIZED=FALSE&amp;creator=factset&amp;display_string=Audit"}</definedName>
    <definedName name="_667__123Graph_XCHART_8" hidden="1">#REF!</definedName>
    <definedName name="_667__FDSAUDITLINK__" hidden="1">{"fdsup://Directions/FactSet Auditing Viewer?action=AUDIT_VALUE&amp;DB=129&amp;ID1=B128WL&amp;VALUEID=01001&amp;SDATE=2010&amp;PERIODTYPE=ANN_STD&amp;SCFT=3&amp;window=popup_no_bar&amp;width=385&amp;height=120&amp;START_MAXIMIZED=FALSE&amp;creator=factset&amp;display_string=Audit"}</definedName>
    <definedName name="_667__FDSAUDITLINK___1" hidden="1">{"fdsup://Directions/FactSet Auditing Viewer?action=AUDIT_VALUE&amp;DB=129&amp;ID1=B128WL&amp;VALUEID=01001&amp;SDATE=2010&amp;PERIODTYPE=ANN_STD&amp;SCFT=3&amp;window=popup_no_bar&amp;width=385&amp;height=120&amp;START_MAXIMIZED=FALSE&amp;creator=factset&amp;display_string=Audit"}</definedName>
    <definedName name="_668__FDSAUDITLINK__" hidden="1">{"fdsup://Directions/FactSet Auditing Viewer?action=AUDIT_VALUE&amp;DB=129&amp;ID1=B128WL&amp;VALUEID=01001&amp;SDATE=2009&amp;PERIODTYPE=ANN_STD&amp;SCFT=3&amp;window=popup_no_bar&amp;width=385&amp;height=120&amp;START_MAXIMIZED=FALSE&amp;creator=factset&amp;display_string=Audit"}</definedName>
    <definedName name="_668__FDSAUDITLINK___1" hidden="1">{"fdsup://Directions/FactSet Auditing Viewer?action=AUDIT_VALUE&amp;DB=129&amp;ID1=B128WL&amp;VALUEID=01001&amp;SDATE=2009&amp;PERIODTYPE=ANN_STD&amp;SCFT=3&amp;window=popup_no_bar&amp;width=385&amp;height=120&amp;START_MAXIMIZED=FALSE&amp;creator=factset&amp;display_string=Audit"}</definedName>
    <definedName name="_669__FDSAUDITLINK__" hidden="1">{"fdsup://directions/FAT Viewer?action=UPDATE&amp;creator=factset&amp;DYN_ARGS=TRUE&amp;DOC_NAME=FAT:FQL_AUDITING_CLIENT_TEMPLATE.FAT&amp;display_string=Audit&amp;VAR:KEY=OBQLSNSXAZ&amp;VAR:QUERY=RkZfRU5UUlBSX1ZBTF9EQUlMWSgwLCwsLElOUiwnQkFTJyk=&amp;WINDOW=FIRST_POPUP&amp;HEIGHT=450&amp;WIDTH=","450&amp;START_MAXIMIZED=FALSE&amp;VAR:CALENDAR=FIVEDAY&amp;VAR:SYMBOL=B128WL&amp;VAR:INDEX=0"}</definedName>
    <definedName name="_669__FDSAUDITLINK___1" hidden="1">{"fdsup://directions/FAT Viewer?action=UPDATE&amp;creator=factset&amp;DYN_ARGS=TRUE&amp;DOC_NAME=FAT:FQL_AUDITING_CLIENT_TEMPLATE.FAT&amp;display_string=Audit&amp;VAR:KEY=OBQLSNSXAZ&amp;VAR:QUERY=RkZfRU5UUlBSX1ZBTF9EQUlMWSgwLCwsLElOUiwnQkFTJyk=&amp;WINDOW=FIRST_POPUP&amp;HEIGHT=450&amp;WIDTH=","450&amp;START_MAXIMIZED=FALSE&amp;VAR:CALENDAR=FIVEDAY&amp;VAR:SYMBOL=B128WL&amp;VAR:INDEX=0"}</definedName>
    <definedName name="_67__FDSAUDITLINK__" hidden="1">{"fdsup://Directions/FactSet Auditing Viewer?action=AUDIT_VALUE&amp;DB=129&amp;ID1=B1FJ0C&amp;VALUEID=02001&amp;SDATE=201101&amp;PERIODTYPE=SEMI_STD&amp;window=popup_no_bar&amp;width=385&amp;height=120&amp;START_MAXIMIZED=FALSE&amp;creator=factset&amp;display_string=Audit"}</definedName>
    <definedName name="_67__FDSAUDITLINK___1" hidden="1">{"fdsup://Directions/FactSet Auditing Viewer?action=AUDIT_VALUE&amp;DB=129&amp;ID1=B1FJ0C&amp;VALUEID=02001&amp;SDATE=201101&amp;PERIODTYPE=SEMI_STD&amp;window=popup_no_bar&amp;width=385&amp;height=120&amp;START_MAXIMIZED=FALSE&amp;creator=factset&amp;display_string=Audit"}</definedName>
    <definedName name="_670__FDSAUDITLINK__" hidden="1">{"fdsup://directions/FAT Viewer?action=UPDATE&amp;creator=factset&amp;DYN_ARGS=TRUE&amp;DOC_NAME=FAT:FQL_AUDITING_CLIENT_TEMPLATE.FAT&amp;display_string=Audit&amp;VAR:KEY=YXWTQRGDOH&amp;VAR:QUERY=RklSU1RfSVRFTV9BVihGRl9QRkRfU1RLKE1PTiwwLCwsLElOUikp&amp;WINDOW=FIRST_POPUP&amp;HEIGHT=450&amp;WI","DTH=450&amp;START_MAXIMIZED=FALSE&amp;VAR:CALENDAR=FIVEDAY&amp;VAR:SYMBOL=B128WL"}</definedName>
    <definedName name="_670__FDSAUDITLINK___1" hidden="1">{"fdsup://directions/FAT Viewer?action=UPDATE&amp;creator=factset&amp;DYN_ARGS=TRUE&amp;DOC_NAME=FAT:FQL_AUDITING_CLIENT_TEMPLATE.FAT&amp;display_string=Audit&amp;VAR:KEY=YXWTQRGDOH&amp;VAR:QUERY=RklSU1RfSVRFTV9BVihGRl9QRkRfU1RLKE1PTiwwLCwsLElOUikp&amp;WINDOW=FIRST_POPUP&amp;HEIGHT=450&amp;WI","DTH=450&amp;START_MAXIMIZED=FALSE&amp;VAR:CALENDAR=FIVEDAY&amp;VAR:SYMBOL=B128WL"}</definedName>
    <definedName name="_671__123Graph_XCHART_6" hidden="1">#REF!</definedName>
    <definedName name="_671__FDSAUDITLINK__" hidden="1">{"fdsup://directions/FAT Viewer?action=UPDATE&amp;creator=factset&amp;DYN_ARGS=TRUE&amp;DOC_NAME=FAT:FQL_AUDITING_CLIENT_TEMPLATE.FAT&amp;display_string=Audit&amp;VAR:KEY=HCZAPQRWFE&amp;VAR:QUERY=RklSU1RfSVRFTV9BVihGRl9NSU5fSU5UX0FDQ1VNKE1PTiwwLCwsLElOUikp&amp;WINDOW=FIRST_POPUP&amp;HEIGH","T=450&amp;WIDTH=450&amp;START_MAXIMIZED=FALSE&amp;VAR:CALENDAR=FIVEDAY&amp;VAR:SYMBOL=B128WL"}</definedName>
    <definedName name="_671__FDSAUDITLINK___1" hidden="1">{"fdsup://directions/FAT Viewer?action=UPDATE&amp;creator=factset&amp;DYN_ARGS=TRUE&amp;DOC_NAME=FAT:FQL_AUDITING_CLIENT_TEMPLATE.FAT&amp;display_string=Audit&amp;VAR:KEY=HCZAPQRWFE&amp;VAR:QUERY=RklSU1RfSVRFTV9BVihGRl9NSU5fSU5UX0FDQ1VNKE1PTiwwLCwsLElOUikp&amp;WINDOW=FIRST_POPUP&amp;HEIGH","T=450&amp;WIDTH=450&amp;START_MAXIMIZED=FALSE&amp;VAR:CALENDAR=FIVEDAY&amp;VAR:SYMBOL=B128WL"}</definedName>
    <definedName name="_672__FDSAUDITLINK__" hidden="1">{"fdsup://directions/FAT Viewer?action=UPDATE&amp;creator=factset&amp;DYN_ARGS=TRUE&amp;DOC_NAME=FAT:FQL_AUDITING_CLIENT_TEMPLATE.FAT&amp;display_string=Audit&amp;VAR:KEY=OHIJCRYHKH&amp;VAR:QUERY=RklSU1RfSVRFTV9BVihGRl9DQVNIX1NUKE1PTiwwLCwsLElOUikp&amp;WINDOW=FIRST_POPUP&amp;HEIGHT=450&amp;WI","DTH=450&amp;START_MAXIMIZED=FALSE&amp;VAR:CALENDAR=FIVEDAY&amp;VAR:SYMBOL=B128WL"}</definedName>
    <definedName name="_672__FDSAUDITLINK___1" hidden="1">{"fdsup://directions/FAT Viewer?action=UPDATE&amp;creator=factset&amp;DYN_ARGS=TRUE&amp;DOC_NAME=FAT:FQL_AUDITING_CLIENT_TEMPLATE.FAT&amp;display_string=Audit&amp;VAR:KEY=OHIJCRYHKH&amp;VAR:QUERY=RklSU1RfSVRFTV9BVihGRl9DQVNIX1NUKE1PTiwwLCwsLElOUikp&amp;WINDOW=FIRST_POPUP&amp;HEIGHT=450&amp;WI","DTH=450&amp;START_MAXIMIZED=FALSE&amp;VAR:CALENDAR=FIVEDAY&amp;VAR:SYMBOL=B128WL"}</definedName>
    <definedName name="_673__FDSAUDITLINK__" hidden="1">{"fdsup://directions/FAT Viewer?action=UPDATE&amp;creator=factset&amp;DYN_ARGS=TRUE&amp;DOC_NAME=FAT:FQL_AUDITING_CLIENT_TEMPLATE.FAT&amp;display_string=Audit&amp;VAR:KEY=LYXOLEDOJS&amp;VAR:QUERY=RklSU1RfSVRFTV9BVihGRl9ERUJUKE1PTiwwLCwsLElOUikp&amp;WINDOW=FIRST_POPUP&amp;HEIGHT=450&amp;WIDTH=","450&amp;START_MAXIMIZED=FALSE&amp;VAR:CALENDAR=FIVEDAY&amp;VAR:SYMBOL=B128WL"}</definedName>
    <definedName name="_673__FDSAUDITLINK___1" hidden="1">{"fdsup://directions/FAT Viewer?action=UPDATE&amp;creator=factset&amp;DYN_ARGS=TRUE&amp;DOC_NAME=FAT:FQL_AUDITING_CLIENT_TEMPLATE.FAT&amp;display_string=Audit&amp;VAR:KEY=LYXOLEDOJS&amp;VAR:QUERY=RklSU1RfSVRFTV9BVihGRl9ERUJUKE1PTiwwLCwsLElOUikp&amp;WINDOW=FIRST_POPUP&amp;HEIGHT=450&amp;WIDTH=","450&amp;START_MAXIMIZED=FALSE&amp;VAR:CALENDAR=FIVEDAY&amp;VAR:SYMBOL=B128WL"}</definedName>
    <definedName name="_68__FDSAUDITLINK__" hidden="1">{"fdsup://directions/FAT Viewer?action=UPDATE&amp;creator=factset&amp;DYN_ARGS=TRUE&amp;DOC_NAME=FAT:FQL_AUDITING_CLIENT_TEMPLATE.FAT&amp;display_string=Audit&amp;VAR:KEY=ERYJIHKBYD&amp;VAR:QUERY=RkZfSU5WRVNUX1NUX1RPVChRVFIsMCk=&amp;WINDOW=FIRST_POPUP&amp;HEIGHT=450&amp;WIDTH=450&amp;START_MAXIMI","ZED=FALSE&amp;VAR:CALENDAR=FIVEDAY&amp;VAR:SYMBOL=651200&amp;VAR:INDEX=0"}</definedName>
    <definedName name="_68__FDSAUDITLINK___1" hidden="1">{"fdsup://directions/FAT Viewer?action=UPDATE&amp;creator=factset&amp;DYN_ARGS=TRUE&amp;DOC_NAME=FAT:FQL_AUDITING_CLIENT_TEMPLATE.FAT&amp;display_string=Audit&amp;VAR:KEY=ERYJIHKBYD&amp;VAR:QUERY=RkZfSU5WRVNUX1NUX1RPVChRVFIsMCk=&amp;WINDOW=FIRST_POPUP&amp;HEIGHT=450&amp;WIDTH=450&amp;START_MAXIMI","ZED=FALSE&amp;VAR:CALENDAR=FIVEDAY&amp;VAR:SYMBOL=651200&amp;VAR:INDEX=0"}</definedName>
    <definedName name="_681__123Graph_XCHART_9" hidden="1">#REF!</definedName>
    <definedName name="_684__FDSAUDITLINK__" hidden="1">{"fdsup://directions/FAT Viewer?action=UPDATE&amp;creator=factset&amp;DYN_ARGS=TRUE&amp;DOC_NAME=FAT:FQL_AUDITING_CLIENT_TEMPLATE.FAT&amp;display_string=Audit&amp;VAR:KEY=QDQRUFWJQP&amp;VAR:QUERY=RkZfRU5UUlBSX1ZBTF9EQUlMWSgwLCwsLElEUiwnQkFTJyk=&amp;WINDOW=FIRST_POPUP&amp;HEIGHT=450&amp;WIDTH=","450&amp;START_MAXIMIZED=FALSE&amp;VAR:CALENDAR=FIVEDAY&amp;VAR:SYMBOL=B00FYK&amp;VAR:INDEX=0"}</definedName>
    <definedName name="_684__FDSAUDITLINK___1" hidden="1">{"fdsup://directions/FAT Viewer?action=UPDATE&amp;creator=factset&amp;DYN_ARGS=TRUE&amp;DOC_NAME=FAT:FQL_AUDITING_CLIENT_TEMPLATE.FAT&amp;display_string=Audit&amp;VAR:KEY=QDQRUFWJQP&amp;VAR:QUERY=RkZfRU5UUlBSX1ZBTF9EQUlMWSgwLCwsLElEUiwnQkFTJyk=&amp;WINDOW=FIRST_POPUP&amp;HEIGHT=450&amp;WIDTH=","450&amp;START_MAXIMIZED=FALSE&amp;VAR:CALENDAR=FIVEDAY&amp;VAR:SYMBOL=B00FYK&amp;VAR:INDEX=0"}</definedName>
    <definedName name="_686__123Graph_XCHART_7" hidden="1">#REF!</definedName>
    <definedName name="_687__123Graph_XCHART_71" hidden="1">#REF!</definedName>
    <definedName name="_69__FDSAUDITLINK__" hidden="1">{"fdsup://Directions/FactSet Auditing Viewer?action=AUDIT_VALUE&amp;DB=129&amp;ID1=B1Y9TB&amp;VALUEID=7033030900&amp;SDATE=201002&amp;PERIODTYPE=SEMI_DET&amp;window=popup_no_bar&amp;width=385&amp;height=120&amp;START_MAXIMIZED=FALSE&amp;creator=factset&amp;display_string=Audit"}</definedName>
    <definedName name="_69__FDSAUDITLINK___1" hidden="1">{"fdsup://Directions/FactSet Auditing Viewer?action=AUDIT_VALUE&amp;DB=129&amp;ID1=B1Y9TB&amp;VALUEID=7033030900&amp;SDATE=201002&amp;PERIODTYPE=SEMI_DET&amp;window=popup_no_bar&amp;width=385&amp;height=120&amp;START_MAXIMIZED=FALSE&amp;creator=factset&amp;display_string=Audit"}</definedName>
    <definedName name="_7__FDSAUDITLINK__" hidden="1">{"fdsup://directions/FAT Viewer?action=UPDATE&amp;creator=factset&amp;DYN_ARGS=TRUE&amp;DOC_NAME=FAT:FQL_AUDITING_CLIENT_TEMPLATE.FAT&amp;display_string=Audit&amp;VAR:KEY=KVEJEFQVSB&amp;VAR:QUERY=KChGRl9ERUJUKFFUUiwwKUBGRl9ERUJUKFNFTUksMCkpQEZGX0RFQlQoQU5OLDApKQ==&amp;WINDOW=FIRST_POP","UP&amp;HEIGHT=450&amp;WIDTH=450&amp;START_MAXIMIZED=FALSE&amp;VAR:CALENDAR=FIVEDAY&amp;VAR:INDEX=0"}</definedName>
    <definedName name="_7__FDSAUDITLINK___1" hidden="1">{"fdsup://directions/FAT Viewer?action=UPDATE&amp;creator=factset&amp;DYN_ARGS=TRUE&amp;DOC_NAME=FAT:FQL_AUDITING_CLIENT_TEMPLATE.FAT&amp;display_string=Audit&amp;VAR:KEY=KVEJEFQVSB&amp;VAR:QUERY=KChGRl9ERUJUKFFUUiwwKUBGRl9ERUJUKFNFTUksMCkpQEZGX0RFQlQoQU5OLDApKQ==&amp;WINDOW=FIRST_POP","UP&amp;HEIGHT=450&amp;WIDTH=450&amp;START_MAXIMIZED=FALSE&amp;VAR:CALENDAR=FIVEDAY&amp;VAR:INDEX=0"}</definedName>
    <definedName name="_70__FDSAUDITLINK__" hidden="1">{"fdsup://Directions/FactSet Auditing Viewer?action=AUDIT_VALUE&amp;DB=129&amp;ID1=B1Y9TB&amp;VALUEID=02001&amp;SDATE=201002&amp;PERIODTYPE=SEMI_STD&amp;window=popup_no_bar&amp;width=385&amp;height=120&amp;START_MAXIMIZED=FALSE&amp;creator=factset&amp;display_string=Audit"}</definedName>
    <definedName name="_70__FDSAUDITLINK___1" hidden="1">{"fdsup://Directions/FactSet Auditing Viewer?action=AUDIT_VALUE&amp;DB=129&amp;ID1=B1Y9TB&amp;VALUEID=02001&amp;SDATE=201002&amp;PERIODTYPE=SEMI_STD&amp;window=popup_no_bar&amp;width=385&amp;height=120&amp;START_MAXIMIZED=FALSE&amp;creator=factset&amp;display_string=Audit"}</definedName>
    <definedName name="_702__123Graph_XCHART_8" hidden="1">#REF!</definedName>
    <definedName name="_706__FDSAUDITLINK__" hidden="1">{"fdsup://directions/FAT Viewer?action=UPDATE&amp;creator=factset&amp;DYN_ARGS=TRUE&amp;DOC_NAME=FAT:FQL_AUDITING_CLIENT_TEMPLATE.FAT&amp;display_string=Audit&amp;VAR:KEY=CRWFGXYNYH&amp;VAR:QUERY=RkZfREVCVF9MVChBTk4sMCwsLCxBVUQp&amp;WINDOW=FIRST_POPUP&amp;HEIGHT=450&amp;WIDTH=450&amp;START_MAXIMI","ZED=FALSE&amp;VAR:CALENDAR=FIVEDAY&amp;VAR:SYMBOL=698123&amp;VAR:INDEX=0"}</definedName>
    <definedName name="_706__FDSAUDITLINK___1" hidden="1">{"fdsup://directions/FAT Viewer?action=UPDATE&amp;creator=factset&amp;DYN_ARGS=TRUE&amp;DOC_NAME=FAT:FQL_AUDITING_CLIENT_TEMPLATE.FAT&amp;display_string=Audit&amp;VAR:KEY=CRWFGXYNYH&amp;VAR:QUERY=RkZfREVCVF9MVChBTk4sMCwsLCxBVUQp&amp;WINDOW=FIRST_POPUP&amp;HEIGHT=450&amp;WIDTH=450&amp;START_MAXIMI","ZED=FALSE&amp;VAR:CALENDAR=FIVEDAY&amp;VAR:SYMBOL=698123&amp;VAR:INDEX=0"}</definedName>
    <definedName name="_707__FDSAUDITLINK__" hidden="1">{"fdsup://Directions/FactSet Auditing Viewer?action=AUDIT_VALUE&amp;DB=129&amp;ID1=698123&amp;VALUEID=03051&amp;SDATE=2010&amp;PERIODTYPE=ANN_STD&amp;SCFT=3&amp;window=popup_no_bar&amp;width=385&amp;height=120&amp;START_MAXIMIZED=FALSE&amp;creator=factset&amp;display_string=Audit"}</definedName>
    <definedName name="_707__FDSAUDITLINK___1" hidden="1">{"fdsup://Directions/FactSet Auditing Viewer?action=AUDIT_VALUE&amp;DB=129&amp;ID1=698123&amp;VALUEID=03051&amp;SDATE=2010&amp;PERIODTYPE=ANN_STD&amp;SCFT=3&amp;window=popup_no_bar&amp;width=385&amp;height=120&amp;START_MAXIMIZED=FALSE&amp;creator=factset&amp;display_string=Audit"}</definedName>
    <definedName name="_708__FDSAUDITLINK__" hidden="1">{"fdsup://Directions/FactSet Auditing Viewer?action=AUDIT_VALUE&amp;DB=129&amp;ID1=698123&amp;VALUEID=03051&amp;SDATE=201101&amp;PERIODTYPE=SEMI_STD&amp;SCFT=3&amp;window=popup_no_bar&amp;width=385&amp;height=120&amp;START_MAXIMIZED=FALSE&amp;creator=factset&amp;display_string=Audit"}</definedName>
    <definedName name="_708__FDSAUDITLINK___1" hidden="1">{"fdsup://Directions/FactSet Auditing Viewer?action=AUDIT_VALUE&amp;DB=129&amp;ID1=698123&amp;VALUEID=03051&amp;SDATE=201101&amp;PERIODTYPE=SEMI_STD&amp;SCFT=3&amp;window=popup_no_bar&amp;width=385&amp;height=120&amp;START_MAXIMIZED=FALSE&amp;creator=factset&amp;display_string=Audit"}</definedName>
    <definedName name="_709__FDSAUDITLINK__" hidden="1">{"fdsup://Directions/FactSet Auditing Viewer?action=AUDIT_VALUE&amp;DB=129&amp;ID1=698123&amp;VALUEID=7033030900&amp;SDATE=201101&amp;PERIODTYPE=SEMI_DET&amp;window=popup_no_bar&amp;width=385&amp;height=120&amp;START_MAXIMIZED=FALSE&amp;creator=factset&amp;display_string=Audit"}</definedName>
    <definedName name="_709__FDSAUDITLINK___1" hidden="1">{"fdsup://Directions/FactSet Auditing Viewer?action=AUDIT_VALUE&amp;DB=129&amp;ID1=698123&amp;VALUEID=7033030900&amp;SDATE=201101&amp;PERIODTYPE=SEMI_DET&amp;window=popup_no_bar&amp;width=385&amp;height=120&amp;START_MAXIMIZED=FALSE&amp;creator=factset&amp;display_string=Audit"}</definedName>
    <definedName name="_71__FDSAUDITLINK__" hidden="1">{"fdsup://Directions/FactSet Auditing Viewer?action=AUDIT_VALUE&amp;DB=129&amp;ID1=652826&amp;VALUEID=7033030900&amp;SDATE=201101&amp;PERIODTYPE=SEMI_DET&amp;window=popup_no_bar&amp;width=385&amp;height=120&amp;START_MAXIMIZED=FALSE&amp;creator=factset&amp;display_string=Audit"}</definedName>
    <definedName name="_71__FDSAUDITLINK___1" hidden="1">{"fdsup://Directions/FactSet Auditing Viewer?action=AUDIT_VALUE&amp;DB=129&amp;ID1=652826&amp;VALUEID=7033030900&amp;SDATE=201101&amp;PERIODTYPE=SEMI_DET&amp;window=popup_no_bar&amp;width=385&amp;height=120&amp;START_MAXIMIZED=FALSE&amp;creator=factset&amp;display_string=Audit"}</definedName>
    <definedName name="_711__FDSAUDITLINK__" hidden="1">{"fdsup://Directions/FactSet Auditing Viewer?action=AUDIT_VALUE&amp;DB=129&amp;ID1=623864&amp;VALUEID=03051&amp;SDATE=201002&amp;PERIODTYPE=SEMI_STD&amp;SCFT=3&amp;window=popup_no_bar&amp;width=385&amp;height=120&amp;START_MAXIMIZED=FALSE&amp;creator=factset&amp;display_string=Audit"}</definedName>
    <definedName name="_711__FDSAUDITLINK___1" hidden="1">{"fdsup://Directions/FactSet Auditing Viewer?action=AUDIT_VALUE&amp;DB=129&amp;ID1=623864&amp;VALUEID=03051&amp;SDATE=201002&amp;PERIODTYPE=SEMI_STD&amp;SCFT=3&amp;window=popup_no_bar&amp;width=385&amp;height=120&amp;START_MAXIMIZED=FALSE&amp;creator=factset&amp;display_string=Audit"}</definedName>
    <definedName name="_712__FDSAUDITLINK__" hidden="1">{"fdsup://directions/FAT Viewer?action=UPDATE&amp;creator=factset&amp;DYN_ARGS=TRUE&amp;DOC_NAME=FAT:FQL_AUDITING_CLIENT_TEMPLATE.FAT&amp;display_string=Audit&amp;VAR:KEY=CHCRSPIDGT&amp;VAR:QUERY=KChGRl9ERUJUX0xUKFFUUiwwLCwsLEFVRClARkZfREVCVF9MVChTRU1JLDAsLCwsQVVEKSlARkZfREVCVF9MV","ChBTk4sMCwsLCxBVUQpKQ==&amp;WINDOW=FIRST_POPUP&amp;HEIGHT=450&amp;WIDTH=450&amp;START_MAXIMIZED=FALSE&amp;VAR:CALENDAR=FIVEDAY&amp;VAR:SYMBOL=B3VL4P&amp;VAR:INDEX=0"}</definedName>
    <definedName name="_712__FDSAUDITLINK___1" hidden="1">{"fdsup://directions/FAT Viewer?action=UPDATE&amp;creator=factset&amp;DYN_ARGS=TRUE&amp;DOC_NAME=FAT:FQL_AUDITING_CLIENT_TEMPLATE.FAT&amp;display_string=Audit&amp;VAR:KEY=CHCRSPIDGT&amp;VAR:QUERY=KChGRl9ERUJUX0xUKFFUUiwwLCwsLEFVRClARkZfREVCVF9MVChTRU1JLDAsLCwsQVVEKSlARkZfREVCVF9MV","ChBTk4sMCwsLCxBVUQpKQ==&amp;WINDOW=FIRST_POPUP&amp;HEIGHT=450&amp;WIDTH=450&amp;START_MAXIMIZED=FALSE&amp;VAR:CALENDAR=FIVEDAY&amp;VAR:SYMBOL=B3VL4P&amp;VAR:INDEX=0"}</definedName>
    <definedName name="_713__FDSAUDITLINK__" hidden="1">{"fdsup://Directions/FactSet Auditing Viewer?action=AUDIT_VALUE&amp;DB=129&amp;ID1=B3VL4P&amp;VALUEID=03051&amp;SDATE=201101&amp;PERIODTYPE=SEMI_STD&amp;SCFT=3&amp;window=popup_no_bar&amp;width=385&amp;height=120&amp;START_MAXIMIZED=FALSE&amp;creator=factset&amp;display_string=Audit"}</definedName>
    <definedName name="_713__FDSAUDITLINK___1" hidden="1">{"fdsup://Directions/FactSet Auditing Viewer?action=AUDIT_VALUE&amp;DB=129&amp;ID1=B3VL4P&amp;VALUEID=03051&amp;SDATE=201101&amp;PERIODTYPE=SEMI_STD&amp;SCFT=3&amp;window=popup_no_bar&amp;width=385&amp;height=120&amp;START_MAXIMIZED=FALSE&amp;creator=factset&amp;display_string=Audit"}</definedName>
    <definedName name="_717__123Graph_XCHART_9" hidden="1">#REF!</definedName>
    <definedName name="_73__FDSAUDITLINK__" hidden="1">{"fdsup://Directions/FactSet Auditing Viewer?action=AUDIT_VALUE&amp;DB=129&amp;ID1=B1FJ0C&amp;VALUEID=03426&amp;SDATE=201101&amp;PERIODTYPE=SEMI_STD&amp;window=popup_no_bar&amp;width=385&amp;height=120&amp;START_MAXIMIZED=FALSE&amp;creator=factset&amp;display_string=Audit"}</definedName>
    <definedName name="_73__FDSAUDITLINK___1" hidden="1">{"fdsup://Directions/FactSet Auditing Viewer?action=AUDIT_VALUE&amp;DB=129&amp;ID1=B1FJ0C&amp;VALUEID=03426&amp;SDATE=201101&amp;PERIODTYPE=SEMI_STD&amp;window=popup_no_bar&amp;width=385&amp;height=120&amp;START_MAXIMIZED=FALSE&amp;creator=factset&amp;display_string=Audit"}</definedName>
    <definedName name="_733__FDSAUDITLINK__" hidden="1">{"fdsup://Directions/FactSet Auditing Viewer?action=AUDIT_VALUE&amp;DB=129&amp;ID1=19121610&amp;VALUEID=7033030900&amp;SDATE=201101&amp;PERIODTYPE=QTR_DET&amp;window=popup_no_bar&amp;width=385&amp;height=120&amp;START_MAXIMIZED=FALSE&amp;creator=factset&amp;display_string=Audit"}</definedName>
    <definedName name="_733__FDSAUDITLINK___1" hidden="1">{"fdsup://Directions/FactSet Auditing Viewer?action=AUDIT_VALUE&amp;DB=129&amp;ID1=19121610&amp;VALUEID=7033030900&amp;SDATE=201101&amp;PERIODTYPE=QTR_DET&amp;window=popup_no_bar&amp;width=385&amp;height=120&amp;START_MAXIMIZED=FALSE&amp;creator=factset&amp;display_string=Audit"}</definedName>
    <definedName name="_736__FDSAUDITLINK__" hidden="1">{"fdsup://Directions/FactSet Auditing Viewer?action=AUDIT_VALUE&amp;DB=129&amp;ID1=48783610&amp;VALUEID=7033030900&amp;SDATE=201101&amp;PERIODTYPE=QTR_DET&amp;window=popup_no_bar&amp;width=385&amp;height=120&amp;START_MAXIMIZED=FALSE&amp;creator=factset&amp;display_string=Audit"}</definedName>
    <definedName name="_736__FDSAUDITLINK___1" hidden="1">{"fdsup://Directions/FactSet Auditing Viewer?action=AUDIT_VALUE&amp;DB=129&amp;ID1=48783610&amp;VALUEID=7033030900&amp;SDATE=201101&amp;PERIODTYPE=QTR_DET&amp;window=popup_no_bar&amp;width=385&amp;height=120&amp;START_MAXIMIZED=FALSE&amp;creator=factset&amp;display_string=Audit"}</definedName>
    <definedName name="_739__FDSAUDITLINK__" hidden="1">{"fdsup://Directions/FactSet Auditing Viewer?action=AUDIT_VALUE&amp;DB=129&amp;ID1=B59HM7&amp;VALUEID=7033030900&amp;SDATE=201101&amp;PERIODTYPE=SEMI_DET&amp;window=popup_no_bar&amp;width=385&amp;height=120&amp;START_MAXIMIZED=FALSE&amp;creator=factset&amp;display_string=Audit"}</definedName>
    <definedName name="_739__FDSAUDITLINK___1" hidden="1">{"fdsup://Directions/FactSet Auditing Viewer?action=AUDIT_VALUE&amp;DB=129&amp;ID1=B59HM7&amp;VALUEID=7033030900&amp;SDATE=201101&amp;PERIODTYPE=SEMI_DET&amp;window=popup_no_bar&amp;width=385&amp;height=120&amp;START_MAXIMIZED=FALSE&amp;creator=factset&amp;display_string=Audit"}</definedName>
    <definedName name="_741__FDSAUDITLINK__" hidden="1">{"fdsup://Directions/FactSet Auditing Viewer?action=AUDIT_VALUE&amp;DB=129&amp;ID1=B50YPZ&amp;VALUEID=7033030900&amp;SDATE=201101&amp;PERIODTYPE=SEMI_DET&amp;window=popup_no_bar&amp;width=385&amp;height=120&amp;START_MAXIMIZED=FALSE&amp;creator=factset&amp;display_string=Audit"}</definedName>
    <definedName name="_741__FDSAUDITLINK___1" hidden="1">{"fdsup://Directions/FactSet Auditing Viewer?action=AUDIT_VALUE&amp;DB=129&amp;ID1=B50YPZ&amp;VALUEID=7033030900&amp;SDATE=201101&amp;PERIODTYPE=SEMI_DET&amp;window=popup_no_bar&amp;width=385&amp;height=120&amp;START_MAXIMIZED=FALSE&amp;creator=factset&amp;display_string=Audit"}</definedName>
    <definedName name="_745__FDSAUDITLINK__" hidden="1">{"fdsup://Directions/FactSet Auditing Viewer?action=AUDIT_VALUE&amp;DB=129&amp;ID1=627791&amp;VALUEID=7033030900&amp;SDATE=201101&amp;PERIODTYPE=SEMI_DET&amp;window=popup_no_bar&amp;width=385&amp;height=120&amp;START_MAXIMIZED=FALSE&amp;creator=factset&amp;display_string=Audit"}</definedName>
    <definedName name="_745__FDSAUDITLINK___1" hidden="1">{"fdsup://Directions/FactSet Auditing Viewer?action=AUDIT_VALUE&amp;DB=129&amp;ID1=627791&amp;VALUEID=7033030900&amp;SDATE=201101&amp;PERIODTYPE=SEMI_DET&amp;window=popup_no_bar&amp;width=385&amp;height=120&amp;START_MAXIMIZED=FALSE&amp;creator=factset&amp;display_string=Audit"}</definedName>
    <definedName name="_748__FDSAUDITLINK__" hidden="1">{"fdsup://Directions/FactSet Auditing Viewer?action=AUDIT_VALUE&amp;DB=129&amp;ID1=B00G29&amp;VALUEID=7033030900&amp;SDATE=201101&amp;PERIODTYPE=SEMI_DET&amp;window=popup_no_bar&amp;width=385&amp;height=120&amp;START_MAXIMIZED=FALSE&amp;creator=factset&amp;display_string=Audit"}</definedName>
    <definedName name="_748__FDSAUDITLINK___1" hidden="1">{"fdsup://Directions/FactSet Auditing Viewer?action=AUDIT_VALUE&amp;DB=129&amp;ID1=B00G29&amp;VALUEID=7033030900&amp;SDATE=201101&amp;PERIODTYPE=SEMI_DET&amp;window=popup_no_bar&amp;width=385&amp;height=120&amp;START_MAXIMIZED=FALSE&amp;creator=factset&amp;display_string=Audit"}</definedName>
    <definedName name="_78__123Graph_ACHART_13" hidden="1">#REF!</definedName>
    <definedName name="_79__123Graph_ACHART_14" hidden="1">#REF!</definedName>
    <definedName name="_8__FDSAUDITLINK__" hidden="1">{"fdsup://directions/FAT Viewer?action=UPDATE&amp;creator=factset&amp;DYN_ARGS=TRUE&amp;DOC_NAME=FAT:FQL_AUDITING_CLIENT_TEMPLATE.FAT&amp;display_string=Audit&amp;VAR:KEY=KVEJEFQVSB&amp;VAR:QUERY=KChGRl9ERUJUKFFUUiwwKUBGRl9ERUJUKFNFTUksMCkpQEZGX0RFQlQoQU5OLDApKQ==&amp;WINDOW=FIRST_POP","UP&amp;HEIGHT=450&amp;WIDTH=450&amp;START_MAXIMIZED=FALSE&amp;VAR:CALENDAR=FIVEDAY&amp;VAR:INDEX=0"}</definedName>
    <definedName name="_8__FDSAUDITLINK___1" hidden="1">{"fdsup://directions/FAT Viewer?action=UPDATE&amp;creator=factset&amp;DYN_ARGS=TRUE&amp;DOC_NAME=FAT:FQL_AUDITING_CLIENT_TEMPLATE.FAT&amp;display_string=Audit&amp;VAR:KEY=KVEJEFQVSB&amp;VAR:QUERY=KChGRl9ERUJUKFFUUiwwKUBGRl9ERUJUKFNFTUksMCkpQEZGX0RFQlQoQU5OLDApKQ==&amp;WINDOW=FIRST_POP","UP&amp;HEIGHT=450&amp;WIDTH=450&amp;START_MAXIMIZED=FALSE&amp;VAR:CALENDAR=FIVEDAY&amp;VAR:INDEX=0"}</definedName>
    <definedName name="_80__123Graph_ACHART_15" hidden="1">#REF!</definedName>
    <definedName name="_81__123Graph_ACHART_16" hidden="1">#REF!</definedName>
    <definedName name="_83__123Graph_ACHART_13" hidden="1">#REF!</definedName>
    <definedName name="_84__123Graph_ACHART_14" hidden="1">#REF!</definedName>
    <definedName name="_85__123Graph_ACHART_15" hidden="1">#REF!</definedName>
    <definedName name="_86__123Graph_ACHART_16" hidden="1">#REF!</definedName>
    <definedName name="_95__123Graph_ACHART_2" hidden="1">#REF!</definedName>
    <definedName name="_AFG1" hidden="1">{#N/A,#N/A,FALSE,"Board Rpt 1";#N/A,#N/A,FALSE,"Board Rpt 2";#N/A,#N/A,FALSE,"Board Rpt 3";#N/A,#N/A,FALSE,"Board Rpt 4";#N/A,#N/A,FALSE,"Board Rpt 5";#N/A,#N/A,FALSE,"Board Rpt 6";#N/A,#N/A,FALSE,"Board Rpt 7";#N/A,#N/A,FALSE,"Board Rpt 8";#N/A,#N/A,FALSE,"Board Rpt 9"}</definedName>
    <definedName name="_AFG1_1" hidden="1">{#N/A,#N/A,FALSE,"Board Rpt 1";#N/A,#N/A,FALSE,"Board Rpt 2";#N/A,#N/A,FALSE,"Board Rpt 3";#N/A,#N/A,FALSE,"Board Rpt 4";#N/A,#N/A,FALSE,"Board Rpt 5";#N/A,#N/A,FALSE,"Board Rpt 6";#N/A,#N/A,FALSE,"Board Rpt 7";#N/A,#N/A,FALSE,"Board Rpt 8";#N/A,#N/A,FALSE,"Board Rpt 9"}</definedName>
    <definedName name="_afg2" hidden="1">{#N/A,#N/A,FALSE,"Board Rpt 1";#N/A,#N/A,FALSE,"Board Rpt 2";#N/A,#N/A,FALSE,"Board Rpt 3";#N/A,#N/A,FALSE,"Board Rpt 4";#N/A,#N/A,FALSE,"Board Rpt 5";#N/A,#N/A,FALSE,"Board Rpt 6";#N/A,#N/A,FALSE,"Board Rpt 7";#N/A,#N/A,FALSE,"Board Rpt 8";#N/A,#N/A,FALSE,"Board Rpt 9"}</definedName>
    <definedName name="_afg2_1" hidden="1">{#N/A,#N/A,FALSE,"Board Rpt 1";#N/A,#N/A,FALSE,"Board Rpt 2";#N/A,#N/A,FALSE,"Board Rpt 3";#N/A,#N/A,FALSE,"Board Rpt 4";#N/A,#N/A,FALSE,"Board Rpt 5";#N/A,#N/A,FALSE,"Board Rpt 6";#N/A,#N/A,FALSE,"Board Rpt 7";#N/A,#N/A,FALSE,"Board Rpt 8";#N/A,#N/A,FALSE,"Board Rpt 9"}</definedName>
    <definedName name="_AtRisk_SimSetting_AutomaticallyGenerateReports" hidden="1">FALSE</definedName>
    <definedName name="_AtRisk_SimSetting_AutomaticallyGenerateReports_1" hidden="1">TRUE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dRecalcBehavior" hidden="1">0</definedName>
    <definedName name="_AtRisk_SimSetting_StdRecalcWithoutRiskStatic" hidden="1">0</definedName>
    <definedName name="_AtRisk_SimSetting_StdRecalcWithoutRiskStaticPercentile" hidden="1">0.5</definedName>
    <definedName name="_CC0101" hidden="1">{#N/A,#N/A,FALSE,"P&amp;L";#N/A,#N/A,FALSE,"R-P&amp;L";#N/A,#N/A,FALSE,"N-P&amp;L";#N/A,#N/A,FALSE,"E-P&amp;L"}</definedName>
    <definedName name="_CC0101_1" hidden="1">{#N/A,#N/A,FALSE,"P&amp;L";#N/A,#N/A,FALSE,"R-P&amp;L";#N/A,#N/A,FALSE,"N-P&amp;L";#N/A,#N/A,FALSE,"E-P&amp;L"}</definedName>
    <definedName name="_Feb08" hidden="1">{#N/A,#N/A,FALSE,"Board Rpt 1";#N/A,#N/A,FALSE,"Board Rpt 2";#N/A,#N/A,FALSE,"Board Rpt 3";#N/A,#N/A,FALSE,"Board Rpt 4";#N/A,#N/A,FALSE,"Board Rpt 5";#N/A,#N/A,FALSE,"Board Rpt 6";#N/A,#N/A,FALSE,"Board Rpt 7";#N/A,#N/A,FALSE,"Board Rpt 8";#N/A,#N/A,FALSE,"Board Rpt 9"}</definedName>
    <definedName name="_Feb08_1" hidden="1">{#N/A,#N/A,FALSE,"Board Rpt 1";#N/A,#N/A,FALSE,"Board Rpt 2";#N/A,#N/A,FALSE,"Board Rpt 3";#N/A,#N/A,FALSE,"Board Rpt 4";#N/A,#N/A,FALSE,"Board Rpt 5";#N/A,#N/A,FALSE,"Board Rpt 6";#N/A,#N/A,FALSE,"Board Rpt 7";#N/A,#N/A,FALSE,"Board Rpt 8";#N/A,#N/A,FALSE,"Board Rpt 9"}</definedName>
    <definedName name="_Fill" hidden="1">#REF!</definedName>
    <definedName name="_xlnm._FilterDatabase" localSheetId="2" hidden="1">'Input|General'!$G$7:$G$14</definedName>
    <definedName name="_ill1" hidden="1">#REF!</definedName>
    <definedName name="_Key1" hidden="1">#REF!</definedName>
    <definedName name="_MatMult_A" hidden="1">#REF!</definedName>
    <definedName name="_MatMult_AxB" hidden="1">#REF!</definedName>
    <definedName name="_MatMult_B" hidden="1">#REF!</definedName>
    <definedName name="_New1" hidden="1">{#N/A,#N/A,FALSE,"Aging Summary";#N/A,#N/A,FALSE,"Ratio Analysis";#N/A,#N/A,FALSE,"Test 120 Day Accts";#N/A,#N/A,FALSE,"Tickmarks"}</definedName>
    <definedName name="_Order1" hidden="1">0</definedName>
    <definedName name="_Sort" hidden="1">#REF!</definedName>
    <definedName name="a" hidden="1">{#N/A,#N/A,FALSE,"P&amp;L";#N/A,#N/A,FALSE,"R-P&amp;L";#N/A,#N/A,FALSE,"N-P&amp;L";#N/A,#N/A,FALSE,"E-P&amp;L"}</definedName>
    <definedName name="aa" hidden="1">{#N/A,#N/A,FALSE,"Aging Summary";#N/A,#N/A,FALSE,"Ratio Analysis";#N/A,#N/A,FALSE,"Test 120 Day Accts";#N/A,#N/A,FALSE,"Tickmarks"}</definedName>
    <definedName name="aaa" hidden="1">{#N/A,#N/A,FALSE,"Aging Summary";#N/A,#N/A,FALSE,"Ratio Analysis";#N/A,#N/A,FALSE,"Test 120 Day Accts";#N/A,#N/A,FALSE,"Tickmarks"}</definedName>
    <definedName name="aaaa" hidden="1">#REF!</definedName>
    <definedName name="AB" hidden="1">{#N/A,#N/A,FALSE,"Board Rpt 1";#N/A,#N/A,FALSE,"Board Rpt 2";#N/A,#N/A,FALSE,"Board Rpt 3";#N/A,#N/A,FALSE,"Board Rpt 4";#N/A,#N/A,FALSE,"Board Rpt 5";#N/A,#N/A,FALSE,"Board Rpt 6";#N/A,#N/A,FALSE,"Board Rpt 7";#N/A,#N/A,FALSE,"Board Rpt 8";#N/A,#N/A,FALSE,"Board Rpt 9"}</definedName>
    <definedName name="AB_1" hidden="1">{#N/A,#N/A,FALSE,"Board Rpt 1";#N/A,#N/A,FALSE,"Board Rpt 2";#N/A,#N/A,FALSE,"Board Rpt 3";#N/A,#N/A,FALSE,"Board Rpt 4";#N/A,#N/A,FALSE,"Board Rpt 5";#N/A,#N/A,FALSE,"Board Rpt 6";#N/A,#N/A,FALSE,"Board Rpt 7";#N/A,#N/A,FALSE,"Board Rpt 8";#N/A,#N/A,FALSE,"Board Rpt 9"}</definedName>
    <definedName name="abba" hidden="1">{"Ownership",#N/A,FALSE,"Ownership";"Contents",#N/A,FALSE,"Contents"}</definedName>
    <definedName name="abba_1" hidden="1">{"Ownership",#N/A,FALSE,"Ownership";"Contents",#N/A,FALSE,"Contents"}</definedName>
    <definedName name="abcd" hidden="1">{#N/A,#N/A,FALSE,"Aging Summary";#N/A,#N/A,FALSE,"Ratio Analysis";#N/A,#N/A,FALSE,"Test 120 Day Accts";#N/A,#N/A,FALSE,"Tickmarks"}</definedName>
    <definedName name="AFG" hidden="1">{#N/A,#N/A,FALSE,"Board Rpt 1";#N/A,#N/A,FALSE,"Board Rpt 2";#N/A,#N/A,FALSE,"Board Rpt 3";#N/A,#N/A,FALSE,"Board Rpt 4";#N/A,#N/A,FALSE,"Board Rpt 5";#N/A,#N/A,FALSE,"Board Rpt 6";#N/A,#N/A,FALSE,"Board Rpt 7";#N/A,#N/A,FALSE,"Board Rpt 8";#N/A,#N/A,FALSE,"Board Rpt 9"}</definedName>
    <definedName name="AFG_1" hidden="1">{#N/A,#N/A,FALSE,"Board Rpt 1";#N/A,#N/A,FALSE,"Board Rpt 2";#N/A,#N/A,FALSE,"Board Rpt 3";#N/A,#N/A,FALSE,"Board Rpt 4";#N/A,#N/A,FALSE,"Board Rpt 5";#N/A,#N/A,FALSE,"Board Rpt 6";#N/A,#N/A,FALSE,"Board Rpt 7";#N/A,#N/A,FALSE,"Board Rpt 8";#N/A,#N/A,FALSE,"Board Rpt 9"}</definedName>
    <definedName name="alketjoiaehtoeaiht" hidden="1">{#N/A,#N/A,FALSE,"Board Rpt 1";#N/A,#N/A,FALSE,"Board Rpt 2";#N/A,#N/A,FALSE,"Board Rpt 3";#N/A,#N/A,FALSE,"Board Rpt 4";#N/A,#N/A,FALSE,"Board Rpt 5";#N/A,#N/A,FALSE,"Board Rpt 6";#N/A,#N/A,FALSE,"Board Rpt 7";#N/A,#N/A,FALSE,"Board Rpt 8";#N/A,#N/A,FALSE,"Board Rpt 9"}</definedName>
    <definedName name="alketjoiaehtoeaiht_1" hidden="1">{#N/A,#N/A,FALSE,"Board Rpt 1";#N/A,#N/A,FALSE,"Board Rpt 2";#N/A,#N/A,FALSE,"Board Rpt 3";#N/A,#N/A,FALSE,"Board Rpt 4";#N/A,#N/A,FALSE,"Board Rpt 5";#N/A,#N/A,FALSE,"Board Rpt 6";#N/A,#N/A,FALSE,"Board Rpt 7";#N/A,#N/A,FALSE,"Board Rpt 8";#N/A,#N/A,FALSE,"Board Rpt 9"}</definedName>
    <definedName name="AM" hidden="1">{#N/A,#N/A,FALSE,"Board Rpt 1";#N/A,#N/A,FALSE,"Board Rpt 2";#N/A,#N/A,FALSE,"Board Rpt 3";#N/A,#N/A,FALSE,"Board Rpt 4";#N/A,#N/A,FALSE,"Board Rpt 5";#N/A,#N/A,FALSE,"Board Rpt 6";#N/A,#N/A,FALSE,"Board Rpt 7";#N/A,#N/A,FALSE,"Board Rpt 8";#N/A,#N/A,FALSE,"Board Rpt 9"}</definedName>
    <definedName name="AM_1" hidden="1">{#N/A,#N/A,FALSE,"Board Rpt 1";#N/A,#N/A,FALSE,"Board Rpt 2";#N/A,#N/A,FALSE,"Board Rpt 3";#N/A,#N/A,FALSE,"Board Rpt 4";#N/A,#N/A,FALSE,"Board Rpt 5";#N/A,#N/A,FALSE,"Board Rpt 6";#N/A,#N/A,FALSE,"Board Rpt 7";#N/A,#N/A,FALSE,"Board Rpt 8";#N/A,#N/A,FALSE,"Board Rpt 9"}</definedName>
    <definedName name="anscount" hidden="1">1</definedName>
    <definedName name="AS2DocOpenMode" hidden="1">"AS2DocumentEdit"</definedName>
    <definedName name="aus" hidden="1">{#N/A,#N/A,FALSE,"Board Rpt 1";#N/A,#N/A,FALSE,"Board Rpt 2";#N/A,#N/A,FALSE,"Board Rpt 3";#N/A,#N/A,FALSE,"Board Rpt 4";#N/A,#N/A,FALSE,"Board Rpt 5";#N/A,#N/A,FALSE,"Board Rpt 6";#N/A,#N/A,FALSE,"Board Rpt 7";#N/A,#N/A,FALSE,"Board Rpt 8";#N/A,#N/A,FALSE,"Board Rpt 9"}</definedName>
    <definedName name="aus_1" hidden="1">{#N/A,#N/A,FALSE,"Board Rpt 1";#N/A,#N/A,FALSE,"Board Rpt 2";#N/A,#N/A,FALSE,"Board Rpt 3";#N/A,#N/A,FALSE,"Board Rpt 4";#N/A,#N/A,FALSE,"Board Rpt 5";#N/A,#N/A,FALSE,"Board Rpt 6";#N/A,#N/A,FALSE,"Board Rpt 7";#N/A,#N/A,FALSE,"Board Rpt 8";#N/A,#N/A,FALSE,"Board Rpt 9"}</definedName>
    <definedName name="b" hidden="1">{#N/A,#N/A,FALSE,"P&amp;L";#N/A,#N/A,FALSE,"R-P&amp;L";#N/A,#N/A,FALSE,"N-P&amp;L";#N/A,#N/A,FALSE,"E-P&amp;L"}</definedName>
    <definedName name="BA_Formats_Styles" hidden="1">#REF!</definedName>
    <definedName name="BA_Range_Naming" hidden="1">#REF!</definedName>
    <definedName name="BA_Sheet_Naming" hidden="1">#REF!</definedName>
    <definedName name="Bad" hidden="1">{#N/A,#N/A,FALSE,"#Title#";#N/A,#N/A,FALSE,"#Oper Mth#";#N/A,#N/A,FALSE,"#Oper YTD#";#N/A,#N/A,FALSE,"#Employee#";#N/A,#N/A,FALSE,"#Capital#";#N/A,#N/A,FALSE,"#Board Treasury#"}</definedName>
    <definedName name="Bad_1" hidden="1">{#N/A,#N/A,FALSE,"#Title#";#N/A,#N/A,FALSE,"#Oper Mth#";#N/A,#N/A,FALSE,"#Oper YTD#";#N/A,#N/A,FALSE,"#Employee#";#N/A,#N/A,FALSE,"#Capital#";#N/A,#N/A,FALSE,"#Board Treasury#"}</definedName>
    <definedName name="BaseYear">'Input|General'!$G$11</definedName>
    <definedName name="BB" hidden="1">{#N/A,#N/A,FALSE,"P&amp;L";#N/A,#N/A,FALSE,"R-P&amp;L";#N/A,#N/A,FALSE,"N-P&amp;L";#N/A,#N/A,FALSE,"E-P&amp;L"}</definedName>
    <definedName name="Budget" hidden="1">{#N/A,#N/A,FALSE,"P&amp;L";#N/A,#N/A,FALSE,"R-P&amp;L";#N/A,#N/A,FALSE,"N-P&amp;L";#N/A,#N/A,FALSE,"E-P&amp;L"}</definedName>
    <definedName name="Budget_1" hidden="1">{#N/A,#N/A,FALSE,"P&amp;L";#N/A,#N/A,FALSE,"R-P&amp;L";#N/A,#N/A,FALSE,"N-P&amp;L";#N/A,#N/A,FALSE,"E-P&amp;L"}</definedName>
    <definedName name="Capex" hidden="1">{#N/A,#N/A,FALSE,"#Title#";#N/A,#N/A,FALSE,"#Oper Mth#";#N/A,#N/A,FALSE,"#Oper YTD#";#N/A,#N/A,FALSE,"#Employee#";#N/A,#N/A,FALSE,"#Capital#";#N/A,#N/A,FALSE,"#Board Treasury#"}</definedName>
    <definedName name="Capex_1" hidden="1">{#N/A,#N/A,FALSE,"#Title#";#N/A,#N/A,FALSE,"#Oper Mth#";#N/A,#N/A,FALSE,"#Oper YTD#";#N/A,#N/A,FALSE,"#Employee#";#N/A,#N/A,FALSE,"#Capital#";#N/A,#N/A,FALSE,"#Board Treasury#"}</definedName>
    <definedName name="cc" hidden="1">{#N/A,#N/A,FALSE,"P&amp;L";#N/A,#N/A,FALSE,"R-P&amp;L";#N/A,#N/A,FALSE,"N-P&amp;L";#N/A,#N/A,FALSE,"E-P&amp;L"}</definedName>
    <definedName name="cc_1" hidden="1">{#N/A,#N/A,FALSE,"P&amp;L";#N/A,#N/A,FALSE,"R-P&amp;L";#N/A,#N/A,FALSE,"N-P&amp;L";#N/A,#N/A,FALSE,"E-P&amp;L"}</definedName>
    <definedName name="CIQWBGuid" hidden="1">"a7d9dc29-a259-4832-a91f-c73385a0ad80"</definedName>
    <definedName name="copy" hidden="1">{#N/A,#N/A,FALSE,"P&amp;L";#N/A,#N/A,FALSE,"R-P&amp;L";#N/A,#N/A,FALSE,"N-P&amp;L";#N/A,#N/A,FALSE,"E-P&amp;L"}</definedName>
    <definedName name="copy_1" hidden="1">{#N/A,#N/A,FALSE,"P&amp;L";#N/A,#N/A,FALSE,"R-P&amp;L";#N/A,#N/A,FALSE,"N-P&amp;L";#N/A,#N/A,FALSE,"E-P&amp;L"}</definedName>
    <definedName name="Copyright" hidden="1">"© 2011 John Laing plc"</definedName>
    <definedName name="different" hidden="1">{#N/A,#N/A,FALSE,"P&amp;L";#N/A,#N/A,FALSE,"R-P&amp;L";#N/A,#N/A,FALSE,"N-P&amp;L";#N/A,#N/A,FALSE,"E-P&amp;L"}</definedName>
    <definedName name="different_1" hidden="1">{#N/A,#N/A,FALSE,"P&amp;L";#N/A,#N/A,FALSE,"R-P&amp;L";#N/A,#N/A,FALSE,"N-P&amp;L";#N/A,#N/A,FALSE,"E-P&amp;L"}</definedName>
    <definedName name="dollars" localSheetId="16">'Lookup|Tables'!$G$10</definedName>
    <definedName name="EBIT" hidden="1">{#N/A,#N/A,FALSE,"P&amp;L";#N/A,#N/A,FALSE,"R-P&amp;L";#N/A,#N/A,FALSE,"N-P&amp;L";#N/A,#N/A,FALSE,"E-P&amp;L"}</definedName>
    <definedName name="EBIT_1" hidden="1">{#N/A,#N/A,FALSE,"P&amp;L";#N/A,#N/A,FALSE,"R-P&amp;L";#N/A,#N/A,FALSE,"N-P&amp;L";#N/A,#N/A,FALSE,"E-P&amp;L"}</definedName>
    <definedName name="EV__LASTREFTIME__" hidden="1">"(GMT+10:00)7/02/2014 3:22:01 PM"</definedName>
    <definedName name="factor" localSheetId="16">'Lookup|Tables'!$G$17</definedName>
    <definedName name="Findit" hidden="1">{#N/A,#N/A,FALSE,"Aging Summary";#N/A,#N/A,FALSE,"Ratio Analysis";#N/A,#N/A,FALSE,"Test 120 Day Accts";#N/A,#N/A,FALSE,"Tickmarks"}</definedName>
    <definedName name="FPFirstYear" localSheetId="12">'Input|General'!$G$13</definedName>
    <definedName name="FPFirstYear">'Input|General'!$G$13</definedName>
    <definedName name="FPLastYear" localSheetId="12">'Input|General'!$G$14</definedName>
    <definedName name="FPLastYear">'Input|General'!$G$14</definedName>
    <definedName name="FRCP_1to5">"2015-16 to 2019-20"</definedName>
    <definedName name="gfh" hidden="1">#REF!</definedName>
    <definedName name="Graph" hidden="1">#REF!</definedName>
    <definedName name="HL_Sheet_Main_10" hidden="1">#REF!</definedName>
    <definedName name="HL_Sheet_Main_11" hidden="1">#REF!</definedName>
    <definedName name="HL_Sheet_Main_12" hidden="1">#REF!</definedName>
    <definedName name="HL_Sheet_Main_13" hidden="1">#REF!</definedName>
    <definedName name="HL_Sheet_Main_14" hidden="1">#REF!</definedName>
    <definedName name="HL_Sheet_Main_15" hidden="1">#REF!</definedName>
    <definedName name="HL_Sheet_Main_16" hidden="1">#REF!</definedName>
    <definedName name="HL_Sheet_Main_17" hidden="1">#REF!</definedName>
    <definedName name="HL_Sheet_Main_18" hidden="1">#REF!</definedName>
    <definedName name="HL_Sheet_Main_19" hidden="1">#REF!</definedName>
    <definedName name="HL_Sheet_Main_2" hidden="1">#REF!</definedName>
    <definedName name="HL_Sheet_Main_20" hidden="1">#REF!</definedName>
    <definedName name="HL_Sheet_Main_21" hidden="1">#REF!</definedName>
    <definedName name="HL_Sheet_Main_22" hidden="1">#REF!</definedName>
    <definedName name="HL_Sheet_Main_23" hidden="1">#REF!</definedName>
    <definedName name="HL_Sheet_Main_24" hidden="1">#REF!</definedName>
    <definedName name="HL_Sheet_Main_25" hidden="1">#REF!</definedName>
    <definedName name="HL_Sheet_Main_26" hidden="1">#REF!</definedName>
    <definedName name="HL_Sheet_Main_27" hidden="1">#REF!</definedName>
    <definedName name="HL_Sheet_Main_28" hidden="1">#REF!</definedName>
    <definedName name="HL_Sheet_Main_29" hidden="1">#REF!</definedName>
    <definedName name="HL_Sheet_Main_5" hidden="1">#REF!</definedName>
    <definedName name="HL_Sheet_Main_7" hidden="1">#REF!</definedName>
    <definedName name="HL_Sheet_Main_9" hidden="1">#REF!</definedName>
    <definedName name="HL_TOC_3" hidden="1">#REF!</definedName>
    <definedName name="HL_TOC_4" hidden="1">#REF!</definedName>
    <definedName name="HL_TOC_5" hidden="1">#REF!</definedName>
    <definedName name="HTML_CodePage" hidden="1">1252</definedName>
    <definedName name="HTML_Control" hidden="1">{"'Sheet1'!$A$1:$E$83"}</definedName>
    <definedName name="HTML_Control_1" hidden="1">{"'Sheet1'!$A$1:$E$83"}</definedName>
    <definedName name="HTML_Description" hidden="1">""</definedName>
    <definedName name="HTML_Email" hidden="1">""</definedName>
    <definedName name="HTML_Header" hidden="1">""</definedName>
    <definedName name="HTML_LastUpdate" hidden="1">"6/30/1999"</definedName>
    <definedName name="HTML_LineAfter" hidden="1">TRUE</definedName>
    <definedName name="HTML_LineBefore" hidden="1">TRUE</definedName>
    <definedName name="HTML_Name" hidden="1">"sjeung"</definedName>
    <definedName name="HTML_OBDlg2" hidden="1">TRUE</definedName>
    <definedName name="HTML_OBDlg4" hidden="1">TRUE</definedName>
    <definedName name="HTML_OS" hidden="1">0</definedName>
    <definedName name="HTML_PathFile" hidden="1">"T:\zteve\html\Files\Rates\9906.htm"</definedName>
    <definedName name="HTML_Title" hidden="1">"June 99"</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SIC_EPS_EXCL" hidden="1">"c85"</definedName>
    <definedName name="IQ_BASIC_EPS_INCL" hidden="1">"c86"</definedName>
    <definedName name="IQ_BASIC_NORMAL_EPS" hidden="1">"c1592"</definedName>
    <definedName name="IQ_BASIC_WEIGHT" hidden="1">"c87"</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IZED_INTEREST" hidden="1">"c2076"</definedName>
    <definedName name="IQ_CASH" hidden="1">"c1458"</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UTSTANDING_BS_DATE" hidden="1">"c1971"</definedName>
    <definedName name="IQ_CLASSA_OUTSTANDING_FILING_DATE" hidden="1">"c1973"</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 hidden="1">500000</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INT" hidden="1">"c373"</definedName>
    <definedName name="IQ_EBITDA_MARGIN" hidden="1">"c372"</definedName>
    <definedName name="IQ_EBITDA_OVER_TOTAL_IE" hidden="1">"c1371"</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EPS" hidden="1">"c1648"</definedName>
    <definedName name="IQ_EST_CURRENCY" hidden="1">"c2140"</definedName>
    <definedName name="IQ_EST_DATE" hidden="1">"c1634"</definedName>
    <definedName name="IQ_EST_EPS_DIFF" hidden="1">"c1864"</definedName>
    <definedName name="IQ_EST_EPS_GROWTH_1YR" hidden="1">"c1636"</definedName>
    <definedName name="IQ_EST_EPS_GROWTH_5YR" hidden="1">"c1655"</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_CODE_" hidden="1">"test"</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"c1446"</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"c1378"</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LAND" hidden="1">"c645"</definedName>
    <definedName name="IQ_LAST_SPLIT_DATE" hidden="1">"c2095"</definedName>
    <definedName name="IQ_LAST_SPLIT_FACTOR" hidden="1">"c2093"</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ICENSED_POPS" hidden="1">"c2123"</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ACHINERY" hidden="1">"c711"</definedName>
    <definedName name="IQ_MAINT_REPAIR" hidden="1">"c2087"</definedName>
    <definedName name="IQ_MARKET_CAP_LFCF" hidden="1">"c2209"</definedName>
    <definedName name="IQ_MARKETCAP" hidden="1">"c712"</definedName>
    <definedName name="IQ_MARKETING" hidden="1">"c2239"</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M_ACCOUNT" hidden="1">"c743"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MTD" hidden="1">800000</definedName>
    <definedName name="IQ_NAMES_REVISION_DATE_" hidden="1">42777.5083680556</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CLOSE_BALANCE_GAS" hidden="1">"c2049"</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OIL" hidden="1">"c2035"</definedName>
    <definedName name="IQ_OG_PURCHASES_GAS" hidden="1">"c2045"</definedName>
    <definedName name="IQ_OG_PURCHASES_OIL" hidden="1">"c2033"</definedName>
    <definedName name="IQ_OG_REVISIONS_GAS" hidden="1">"c2042"</definedName>
    <definedName name="IQ_OG_REVISIONS_OIL" hidden="1">"c2030"</definedName>
    <definedName name="IQ_OG_SALES_IN_PLACE_GAS" hidden="1">"c2046"</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ED55" hidden="1">1</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ISSUED" hidden="1">"c857"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"c2128"</definedName>
    <definedName name="IQ_OUTSTANDING_FILING_DATE" hidden="1">"c2127"</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NSION" hidden="1">"c1031"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VG_STORE_SIZE_GROSS" hidden="1">"c2066"</definedName>
    <definedName name="IQ_RETAIL_AVG_STORE_SIZE_NET" hidden="1">"c2067"</definedName>
    <definedName name="IQ_RETAIL_CLOSED_STORES" hidden="1">"c2063"</definedName>
    <definedName name="IQ_RETAIL_OPENED_STORES" hidden="1">"c2062"</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Q_FOOTAGE" hidden="1">"c2064"</definedName>
    <definedName name="IQ_RETAIL_STORE_SELLING_AREA" hidden="1">"c2065"</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UTI" hidden="1">"c1125"</definedName>
    <definedName name="IQ_REVENUE" hidden="1">"c1422"</definedName>
    <definedName name="IQ_REVISION_DATE_" hidden="1">38960.6132523148</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VING_DEP" hidden="1">"c1150"</definedName>
    <definedName name="IQ_SECUR_RECEIV" hidden="1">"c1151"</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MPLOYEE_AVG" hidden="1">"c1225"</definedName>
    <definedName name="IQ_TEV_TOTAL_REV" hidden="1">"c1226"</definedName>
    <definedName name="IQ_TEV_TOTAL_REV_AVG" hidden="1">"c1227"</definedName>
    <definedName name="IQ_TEV_UFCF" hidden="1">"c2208"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EXP" hidden="1">"c1291"</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S" hidden="1">"c2119"</definedName>
    <definedName name="IQ_TOTAL_UNUSUAL" hidden="1">"c1508"</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USUAL_EXP" hidden="1">"c1456"</definedName>
    <definedName name="IQ_US_GAAP" hidden="1">"c1331"</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EK" hidden="1">50000</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Z_SCORE" hidden="1">"c1339"</definedName>
    <definedName name="IQRC12" hidden="1">"$C$13"</definedName>
    <definedName name="IQRG12" hidden="1">"$H$12:$L$12"</definedName>
    <definedName name="IQRH12" hidden="1">"$I$12:$M$12"</definedName>
    <definedName name="IQRH13" hidden="1">"$I$13:$M$13"</definedName>
    <definedName name="IQRH14" hidden="1">"$I$14"</definedName>
    <definedName name="IQRH15" hidden="1">"$I$15:$M$15"</definedName>
    <definedName name="IQRH16" hidden="1">"$I$16:$M$16"</definedName>
    <definedName name="IQRH17" hidden="1">"$I$17:$M$17"</definedName>
    <definedName name="IQRH18" hidden="1">"$I$18:$M$18"</definedName>
    <definedName name="IQRH19" hidden="1">"$I$19:$M$19"</definedName>
    <definedName name="IQRH20" hidden="1">"$I$20:$M$20"</definedName>
    <definedName name="IQRH21" hidden="1">"$I$21"</definedName>
    <definedName name="IQRH22" hidden="1">"$I$22"</definedName>
    <definedName name="IQRH23" hidden="1">"$I$23"</definedName>
    <definedName name="IQRH24" hidden="1">"$I$24"</definedName>
    <definedName name="IQRH25" hidden="1">"$I$25"</definedName>
    <definedName name="IQRH26" hidden="1">"$I$26"</definedName>
    <definedName name="IQRH27" hidden="1">"$I$27"</definedName>
    <definedName name="IQRH28" hidden="1">"$I$28"</definedName>
    <definedName name="IQRM12" hidden="1">"$N$12:$R$12"</definedName>
    <definedName name="IQRN12" hidden="1">"$O$12:$S$12"</definedName>
    <definedName name="IQRN13" hidden="1">"$O$13:$S$13"</definedName>
    <definedName name="IQRN14" hidden="1">"$O$14"</definedName>
    <definedName name="IQRN15" hidden="1">"$O$15:$S$15"</definedName>
    <definedName name="IQRN16" hidden="1">"$O$16:$S$16"</definedName>
    <definedName name="IQRN17" hidden="1">"$O$17:$S$17"</definedName>
    <definedName name="IQRN18" hidden="1">"$O$18:$S$18"</definedName>
    <definedName name="IQRN19" hidden="1">"$O$19:$S$19"</definedName>
    <definedName name="IQRN20" hidden="1">"$O$20:$S$20"</definedName>
    <definedName name="IQRN21" hidden="1">"$O$21"</definedName>
    <definedName name="IQRN22" hidden="1">"$O$22"</definedName>
    <definedName name="IQRN23" hidden="1">"$O$23"</definedName>
    <definedName name="IQRN24" hidden="1">"$O$24"</definedName>
    <definedName name="IQRN25" hidden="1">"$O$25"</definedName>
    <definedName name="IQRN26" hidden="1">"$O$26"</definedName>
    <definedName name="IQRN27" hidden="1">"$O$27"</definedName>
    <definedName name="IQRN28" hidden="1">"$O$28"</definedName>
    <definedName name="LAN" hidden="1">{"Ownership",#N/A,FALSE,"Ownership";"Contents",#N/A,FALSE,"Contents"}</definedName>
    <definedName name="LAN_1" hidden="1">{"Ownership",#N/A,FALSE,"Ownership";"Contents",#N/A,FALSE,"Contents"}</definedName>
    <definedName name="limcount" hidden="1">1</definedName>
    <definedName name="millions" localSheetId="16">'Lookup|Tables'!$G$12</definedName>
    <definedName name="month">'Input|General'!$G$9</definedName>
    <definedName name="New" hidden="1">{#N/A,#N/A,FALSE,"Aging Summary";#N/A,#N/A,FALSE,"Ratio Analysis";#N/A,#N/A,FALSE,"Test 120 Day Accts";#N/A,#N/A,FALSE,"Tickmarks"}</definedName>
    <definedName name="Nominal_to_Real" localSheetId="16">'Lookup|Tables'!$H$65:$H$76</definedName>
    <definedName name="Nominal_to_Real">'Lookup|Tables'!$H$65:$H$76</definedName>
    <definedName name="NSP">'Input|General'!$G$8</definedName>
    <definedName name="number" localSheetId="16">'Lookup|Tables'!$G$16</definedName>
    <definedName name="ok" hidden="1">{#N/A,#N/A,FALSE,"P&amp;L";#N/A,#N/A,FALSE,"R-P&amp;L";#N/A,#N/A,FALSE,"N-P&amp;L";#N/A,#N/A,FALSE,"E-P&amp;L"}</definedName>
    <definedName name="one" hidden="1">{#N/A,#N/A,FALSE,"P&amp;L";#N/A,#N/A,FALSE,"R-P&amp;L";#N/A,#N/A,FALSE,"N-P&amp;L";#N/A,#N/A,FALSE,"E-P&amp;L"}</definedName>
    <definedName name="percent" localSheetId="16">'Lookup|Tables'!$G$14</definedName>
    <definedName name="percent">'Lookup|Tables'!$G$14</definedName>
    <definedName name="Percent2" hidden="1">{#N/A,#N/A,FALSE,"Aging Summary";#N/A,#N/A,FALSE,"Ratio Analysis";#N/A,#N/A,FALSE,"Test 120 Day Accts";#N/A,#N/A,FALSE,"Tickmarks"}</definedName>
    <definedName name="PPFirstYear" localSheetId="12">'Input|General'!$G$10</definedName>
    <definedName name="PPFirstYear" localSheetId="16">'Input|General'!$G$10</definedName>
    <definedName name="PPFirstYear">'Input|General'!$G$10</definedName>
    <definedName name="PPLastYear" localSheetId="12">'Input|General'!$G$12</definedName>
    <definedName name="PPLastYear" localSheetId="16">'Input|General'!$G$12</definedName>
    <definedName name="PPLastYear">'Input|General'!$G$12</definedName>
    <definedName name="q" hidden="1">{#N/A,#N/A,FALSE,"P&amp;L";#N/A,#N/A,FALSE,"R-P&amp;L";#N/A,#N/A,FALSE,"N-P&amp;L";#N/A,#N/A,FALSE,"E-P&amp;L"}</definedName>
    <definedName name="q_1" hidden="1">{#N/A,#N/A,FALSE,"P&amp;L";#N/A,#N/A,FALSE,"R-P&amp;L";#N/A,#N/A,FALSE,"N-P&amp;L";#N/A,#N/A,FALSE,"E-P&amp;L"}</definedName>
    <definedName name="qq" hidden="1">{#N/A,#N/A,FALSE,"P&amp;L";#N/A,#N/A,FALSE,"R-P&amp;L";#N/A,#N/A,FALSE,"N-P&amp;L";#N/A,#N/A,FALSE,"E-P&amp;L"}</definedName>
    <definedName name="RCP_1to5">"2015-16 to 2019-20"</definedName>
    <definedName name="Retirement" hidden="1">{#N/A,#N/A,FALSE,"#Title#";#N/A,#N/A,FALSE,"#Oper Mth#";#N/A,#N/A,FALSE,"#Oper YTD#";#N/A,#N/A,FALSE,"#Employee#";#N/A,#N/A,FALSE,"#Capital#";#N/A,#N/A,FALSE,"#Board Treasury#"}</definedName>
    <definedName name="Retirement_1" hidden="1">{#N/A,#N/A,FALSE,"#Title#";#N/A,#N/A,FALSE,"#Oper Mth#";#N/A,#N/A,FALSE,"#Oper YTD#";#N/A,#N/A,FALSE,"#Employee#";#N/A,#N/A,FALSE,"#Capital#";#N/A,#N/A,FALSE,"#Board Treasury#"}</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 name="SAPBEXbbsBack" hidden="1">"xSAPtemp3130.xls"</definedName>
    <definedName name="SAPBEXhrIndnt" hidden="1">1</definedName>
    <definedName name="SAPBEXrevision" hidden="1">1</definedName>
    <definedName name="SAPBEXrevision_1" hidden="1">9</definedName>
    <definedName name="SAPBEXsysID" hidden="1">"BWP"</definedName>
    <definedName name="SAPBEXwbID" hidden="1">"3UW6M9SUCG948XO4J23IAGDXN"</definedName>
    <definedName name="SAPBEXwbID_1" hidden="1">"3MRVO7FSUKKSZGHNN9S3XOKUJ"</definedName>
    <definedName name="SAPsysID" hidden="1">"708C5W7SBKP804JT78WJ0JNKI"</definedName>
    <definedName name="SAPwbID" hidden="1">"ARS"</definedName>
    <definedName name="sdgfd" hidden="1">{#N/A,#N/A,FALSE,"P&amp;L";#N/A,#N/A,FALSE,"R-P&amp;L";#N/A,#N/A,FALSE,"N-P&amp;L";#N/A,#N/A,FALSE,"E-P&amp;L"}</definedName>
    <definedName name="sdgfd_1" hidden="1">{#N/A,#N/A,FALSE,"P&amp;L";#N/A,#N/A,FALSE,"R-P&amp;L";#N/A,#N/A,FALSE,"N-P&amp;L";#N/A,#N/A,FALSE,"E-P&amp;L"}</definedName>
    <definedName name="sDimPick" hidden="1">#REF!</definedName>
    <definedName name="sencount" hidden="1">1</definedName>
    <definedName name="sTopElement" hidden="1">#REF!</definedName>
    <definedName name="stuff" hidden="1">{#N/A,#N/A,FALSE,"Board Rpt 1";#N/A,#N/A,FALSE,"Board Rpt 2";#N/A,#N/A,FALSE,"Board Rpt 3";#N/A,#N/A,FALSE,"Board Rpt 4";#N/A,#N/A,FALSE,"Board Rpt 5";#N/A,#N/A,FALSE,"Board Rpt 6";#N/A,#N/A,FALSE,"Board Rpt 7";#N/A,#N/A,FALSE,"Board Rpt 8";#N/A,#N/A,FALSE,"Board Rpt 9"}</definedName>
    <definedName name="stuff_1" hidden="1">{#N/A,#N/A,FALSE,"Board Rpt 1";#N/A,#N/A,FALSE,"Board Rpt 2";#N/A,#N/A,FALSE,"Board Rpt 3";#N/A,#N/A,FALSE,"Board Rpt 4";#N/A,#N/A,FALSE,"Board Rpt 5";#N/A,#N/A,FALSE,"Board Rpt 6";#N/A,#N/A,FALSE,"Board Rpt 7";#N/A,#N/A,FALSE,"Board Rpt 8";#N/A,#N/A,FALSE,"Board Rpt 9"}</definedName>
    <definedName name="stuff2" hidden="1">{#N/A,#N/A,FALSE,"P&amp;L";#N/A,#N/A,FALSE,"R-P&amp;L";#N/A,#N/A,FALSE,"N-P&amp;L";#N/A,#N/A,FALSE,"E-P&amp;L"}</definedName>
    <definedName name="stuff2_1" hidden="1">{#N/A,#N/A,FALSE,"P&amp;L";#N/A,#N/A,FALSE,"R-P&amp;L";#N/A,#N/A,FALSE,"N-P&amp;L";#N/A,#N/A,FALSE,"E-P&amp;L"}</definedName>
    <definedName name="Summary" hidden="1">{#N/A,#N/A,FALSE,"Board Rpt 1";#N/A,#N/A,FALSE,"Board Rpt 2";#N/A,#N/A,FALSE,"Board Rpt 3";#N/A,#N/A,FALSE,"Board Rpt 4";#N/A,#N/A,FALSE,"Board Rpt 5";#N/A,#N/A,FALSE,"Board Rpt 6";#N/A,#N/A,FALSE,"Board Rpt 7";#N/A,#N/A,FALSE,"Board Rpt 8";#N/A,#N/A,FALSE,"Board Rpt 9"}</definedName>
    <definedName name="Summary_1" hidden="1">{#N/A,#N/A,FALSE,"Board Rpt 1";#N/A,#N/A,FALSE,"Board Rpt 2";#N/A,#N/A,FALSE,"Board Rpt 3";#N/A,#N/A,FALSE,"Board Rpt 4";#N/A,#N/A,FALSE,"Board Rpt 5";#N/A,#N/A,FALSE,"Board Rpt 6";#N/A,#N/A,FALSE,"Board Rpt 7";#N/A,#N/A,FALSE,"Board Rpt 8";#N/A,#N/A,FALSE,"Board Rpt 9"}</definedName>
    <definedName name="teest" hidden="1">{"Ownership",#N/A,FALSE,"Ownership";"Contents",#N/A,FALSE,"Contents"}</definedName>
    <definedName name="teest_1" hidden="1">{"Ownership",#N/A,FALSE,"Ownership";"Contents",#N/A,FALSE,"Contents"}</definedName>
    <definedName name="test_1" hidden="1">{#N/A,#N/A,FALSE,"Board Rpt 1";#N/A,#N/A,FALSE,"Board Rpt 2";#N/A,#N/A,FALSE,"Board Rpt 3";#N/A,#N/A,FALSE,"Board Rpt 4";#N/A,#N/A,FALSE,"Board Rpt 5";#N/A,#N/A,FALSE,"Board Rpt 6";#N/A,#N/A,FALSE,"Board Rpt 7";#N/A,#N/A,FALSE,"Board Rpt 8";#N/A,#N/A,FALSE,"Board Rpt 9"}</definedName>
    <definedName name="TEST1" hidden="1">#REF!</definedName>
    <definedName name="TEST2" hidden="1">#REF!</definedName>
    <definedName name="thousands" localSheetId="16">'Lookup|Tables'!$G$11</definedName>
    <definedName name="TOC_Hdg_3" hidden="1">#REF!</definedName>
    <definedName name="TOC_Hdg_4" hidden="1">#REF!</definedName>
    <definedName name="TOC_Hdg_5" hidden="1">#REF!</definedName>
    <definedName name="treeList" hidden="1">"10000000000000000000000000000000000000000000000000000000000000000000000000000000000000000000000000000000000000000000000000000000000000000000000000000000000000000000000000000000000000000000000000000000"</definedName>
    <definedName name="unit" localSheetId="16">'Lookup|Tables'!$G$15</definedName>
    <definedName name="v"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JDSuite." hidden="1">{"AJD",#N/A,TRUE,"Summary";"AJD",#N/A,TRUE,"CFCONC-outputs";"AJD",#N/A,TRUE,"P&amp;LCONC-outputs";"AJD",#N/A,TRUE,"BSCONC-outputs";"AJD",#N/A,TRUE,"FSCONC-outputs"}</definedName>
    <definedName name="wrn.All_Contracts." hidden="1">{"All Contracts",#N/A,FALSE,"Contracts"}</definedName>
    <definedName name="wrn.All_ContractsHu" hidden="1">{"All Contracts",#N/A,FALSE,"Contracts"}</definedName>
    <definedName name="wrn.App._.Custodians." hidden="1">{"Ownership",#N/A,FALSE,"Ownership";"Contents",#N/A,FALSE,"Contents"}</definedName>
    <definedName name="wrn.App._.Custodians._1" hidden="1">{"Ownership",#N/A,FALSE,"Ownership";"Contents",#N/A,FALSE,"Contents"}</definedName>
    <definedName name="wrn.Assumptions." hidden="1">{"Assumptions",#N/A,FALSE,"Financials"}</definedName>
    <definedName name="wrn.Assumptions._1" hidden="1">{"Assumptions",#N/A,FALSE,"Financials"}</definedName>
    <definedName name="wrn.Board." hidden="1">{#N/A,#N/A,FALSE,"#Title#";#N/A,#N/A,FALSE,"#Oper Mth#";#N/A,#N/A,FALSE,"#Oper YTD#";#N/A,#N/A,FALSE,"#Employee#";#N/A,#N/A,FALSE,"#Capital#";#N/A,#N/A,FALSE,"#Board Treasury#"}</definedName>
    <definedName name="wrn.Board._.Rpt." hidden="1">{#N/A,#N/A,FALSE,"Board Rpt 1";#N/A,#N/A,FALSE,"Board Rpt 2";#N/A,#N/A,FALSE,"Board Rpt 3";#N/A,#N/A,FALSE,"Board Rpt 4";#N/A,#N/A,FALSE,"Board Rpt 5";#N/A,#N/A,FALSE,"Board Rpt 6";#N/A,#N/A,FALSE,"Board Rpt 7";#N/A,#N/A,FALSE,"Board Rpt 8";#N/A,#N/A,FALSE,"Board Rpt 9"}</definedName>
    <definedName name="wrn.Board._.Rpt._1" hidden="1">{#N/A,#N/A,FALSE,"Board Rpt 1";#N/A,#N/A,FALSE,"Board Rpt 2";#N/A,#N/A,FALSE,"Board Rpt 3";#N/A,#N/A,FALSE,"Board Rpt 4";#N/A,#N/A,FALSE,"Board Rpt 5";#N/A,#N/A,FALSE,"Board Rpt 6";#N/A,#N/A,FALSE,"Board Rpt 7";#N/A,#N/A,FALSE,"Board Rpt 8";#N/A,#N/A,FALSE,"Board Rpt 9"}</definedName>
    <definedName name="wrn.Board._1" hidden="1">{#N/A,#N/A,FALSE,"#Title#";#N/A,#N/A,FALSE,"#Oper Mth#";#N/A,#N/A,FALSE,"#Oper YTD#";#N/A,#N/A,FALSE,"#Employee#";#N/A,#N/A,FALSE,"#Capital#";#N/A,#N/A,FALSE,"#Board Treasury#"}</definedName>
    <definedName name="wrn.Board1" hidden="1">{#N/A,#N/A,FALSE,"Board Rpt 1";#N/A,#N/A,FALSE,"Board Rpt 2";#N/A,#N/A,FALSE,"Board Rpt 3";#N/A,#N/A,FALSE,"Board Rpt 4";#N/A,#N/A,FALSE,"Board Rpt 5";#N/A,#N/A,FALSE,"Board Rpt 6";#N/A,#N/A,FALSE,"Board Rpt 7";#N/A,#N/A,FALSE,"Board Rpt 8";#N/A,#N/A,FALSE,"Board Rpt 9"}</definedName>
    <definedName name="wrn.Board1_1" hidden="1">{#N/A,#N/A,FALSE,"Board Rpt 1";#N/A,#N/A,FALSE,"Board Rpt 2";#N/A,#N/A,FALSE,"Board Rpt 3";#N/A,#N/A,FALSE,"Board Rpt 4";#N/A,#N/A,FALSE,"Board Rpt 5";#N/A,#N/A,FALSE,"Board Rpt 6";#N/A,#N/A,FALSE,"Board Rpt 7";#N/A,#N/A,FALSE,"Board Rpt 8";#N/A,#N/A,FALSE,"Board Rpt 9"}</definedName>
    <definedName name="wrn.Board2" hidden="1">{#N/A,#N/A,FALSE,"Board Rpt 1";#N/A,#N/A,FALSE,"Board Rpt 2";#N/A,#N/A,FALSE,"Board Rpt 3";#N/A,#N/A,FALSE,"Board Rpt 4";#N/A,#N/A,FALSE,"Board Rpt 5";#N/A,#N/A,FALSE,"Board Rpt 6";#N/A,#N/A,FALSE,"Board Rpt 7";#N/A,#N/A,FALSE,"Board Rpt 8";#N/A,#N/A,FALSE,"Board Rpt 9"}</definedName>
    <definedName name="wrn.Board2_1" hidden="1">{#N/A,#N/A,FALSE,"Board Rpt 1";#N/A,#N/A,FALSE,"Board Rpt 2";#N/A,#N/A,FALSE,"Board Rpt 3";#N/A,#N/A,FALSE,"Board Rpt 4";#N/A,#N/A,FALSE,"Board Rpt 5";#N/A,#N/A,FALSE,"Board Rpt 6";#N/A,#N/A,FALSE,"Board Rpt 7";#N/A,#N/A,FALSE,"Board Rpt 8";#N/A,#N/A,FALSE,"Board Rpt 9"}</definedName>
    <definedName name="wrn.Construction._.Costs." hidden="1">{"Const Costs Dev",#N/A,FALSE,"Construction Cost Inputs";"Const Costs orig ccy",#N/A,FALSE,"Construction Cost Inputs";"Const Costs USD",#N/A,FALSE,"Construction Cost Inputs"}</definedName>
    <definedName name="wrn.Financial._.Reports." hidden="1">{"Financials",#N/A,FALSE,"Financials"}</definedName>
    <definedName name="wrn.Financial._.Reports._1" hidden="1">{"Financials",#N/A,FALSE,"Financials"}</definedName>
    <definedName name="wrn.Financing._.Inputs." hidden="1">{"BuildIn 2 Funding Assump",#N/A,FALSE,"Building Inputs";"BuildIn Capex plus Extras",#N/A,FALSE,"Building Inputs"}</definedName>
    <definedName name="wrn.Full._.Report." hidden="1">{"full print",#N/A,FALSE,"Financials";"Sensitivities",#N/A,FALSE,"Sensitivities"}</definedName>
    <definedName name="wrn.Full._.Report._1" hidden="1">{"full print",#N/A,FALSE,"Financials";"Sensitivities",#N/A,FALSE,"Sensitivities"}</definedName>
    <definedName name="wrn.Generic_Moomba_Outlook." hidden="1">{"Generic_Moomba_North_1999_Dev_Well",#N/A,FALSE,"Moomba Generic";"Peter_Bainbrigge_Moomba_Outlook",#N/A,FALSE,"Moomba Generic";"Moomba_Typical_Well",#N/A,FALSE,"Moomba Generic"}</definedName>
    <definedName name="wrn.Inputs._.outputs." hidden="1">{"key inputs",#N/A,FALSE,"Key Inputs";"key outputs",#N/A,FALSE,"Outputs";"Other inputs",#N/A,FALSE,"Other Inputs";"cashflow",#N/A,FALSE,"Statemnts"}</definedName>
    <definedName name="wrn.Key._.Statistics." hidden="1">{"Statistics",#N/A,FALSE,"Financials"}</definedName>
    <definedName name="wrn.Key._.Statistics._1" hidden="1">{"Statistics",#N/A,FALSE,"Financials"}</definedName>
    <definedName name="wrn.Lease._.10._.Years." hidden="1">{"Years10",#N/A,FALSE,"Leases"}</definedName>
    <definedName name="wrn.Lease._.10._.Years._1" hidden="1">{"Years10",#N/A,FALSE,"Leases"}</definedName>
    <definedName name="wrn.Lease._.20._.years." hidden="1">{"Years20",#N/A,FALSE,"Leases"}</definedName>
    <definedName name="wrn.Lease._.20._.years._1" hidden="1">{"Years20",#N/A,FALSE,"Leases"}</definedName>
    <definedName name="wrn.Lease._.30._.Years." hidden="1">{"Years30",#N/A,FALSE,"Leases"}</definedName>
    <definedName name="wrn.Lease._.30._.Years._1" hidden="1">{"Years30",#N/A,FALSE,"Leases"}</definedName>
    <definedName name="wrn.OpCostIn." hidden="1">{"OpCostIn Technical",#N/A,FALSE,"Operations Cost Inputs";"OpCostIn V plus F",#N/A,FALSE,"Operations Cost Inputs";"OpCostIn Maint",#N/A,FALSE,"Operations Cost Inputs";"OpCostIn LDs Add Cost",#N/A,FALSE,"Operations Cost Inputs"}</definedName>
    <definedName name="wrn.Print._.Profit._.and._.Loss._.Reports." hidden="1">{#N/A,#N/A,FALSE,"P&amp;L";#N/A,#N/A,FALSE,"R-P&amp;L";#N/A,#N/A,FALSE,"N-P&amp;L";#N/A,#N/A,FALSE,"E-P&amp;L"}</definedName>
    <definedName name="wrn.Print._.Profit._.and._.Loss._.Reports._1" hidden="1">{#N/A,#N/A,FALSE,"P&amp;L";#N/A,#N/A,FALSE,"R-P&amp;L";#N/A,#N/A,FALSE,"N-P&amp;L";#N/A,#N/A,FALSE,"E-P&amp;L"}</definedName>
    <definedName name="wrn.Print._.Profit._.and.Loss._.Reports.1" hidden="1">{#N/A,#N/A,FALSE,"P&amp;L";#N/A,#N/A,FALSE,"R-P&amp;L";#N/A,#N/A,FALSE,"N-P&amp;L";#N/A,#N/A,FALSE,"E-P&amp;L"}</definedName>
    <definedName name="wrn.Print._.Profit._.and.Loss._.Reports.1_1" hidden="1">{#N/A,#N/A,FALSE,"P&amp;L";#N/A,#N/A,FALSE,"R-P&amp;L";#N/A,#N/A,FALSE,"N-P&amp;L";#N/A,#N/A,FALSE,"E-P&amp;L"}</definedName>
    <definedName name="wrn.Print._.Reduced._.Scenario._.2." hidden="1">{"Reduced Scenario 2",#N/A,FALSE,"Deliv B Up 1999 2004 SC 2"}</definedName>
    <definedName name="wrn.Print_full_report." hidden="1">{#N/A,#N/A,TRUE,"Frontpage";#N/A,#N/A,TRUE,"RATIOS";#N/A,#N/A,TRUE,"graphdelta";#N/A,#N/A,TRUE,"Assumptions1";#N/A,#N/A,TRUE,"Operating costs";#N/A,#N/A,TRUE,"CostDrivers-compl";#N/A,#N/A,TRUE,"Serv.rev Compliant";#N/A,#N/A,TRUE,"P &amp; L";#N/A,#N/A,TRUE,"Cash flow";#N/A,#N/A,TRUE,"Bal.Sheet";#N/A,#N/A,TRUE,"Incremental";#N/A,#N/A,TRUE,"P&amp;Lsupport";#N/A,#N/A,TRUE,"Fixed assets";#N/A,#N/A,TRUE,"Working capital";#N/A,#N/A,TRUE,"Tax";#N/A,#N/A,TRUE,"ROSCO"}</definedName>
    <definedName name="wrn.Print_Scenario_1_Full_Size." hidden="1">{"Scenario 1 Full Size",#N/A,FALSE,"Deliv B Up 1999 2004 SC 1"}</definedName>
    <definedName name="wrn.Print_Scenario_2_Full_Size." hidden="1">{"Scenario 2 Full Size",#N/A,FALSE,"Deliv B Up 1999 2004 SC 2"}</definedName>
    <definedName name="wrn.Project._.Returns." hidden="1">{"Cover Page",#N/A,FALSE,"Financials"}</definedName>
    <definedName name="wrn.Project._.Returns._1" hidden="1">{"Cover Page",#N/A,FALSE,"Financials"}</definedName>
    <definedName name="wrn.Reduced._.Scenario._.1." hidden="1">{"Reduced Scenario 1",#N/A,FALSE,"Deliv B Up 1999 2004 SC 1"}</definedName>
    <definedName name="wrn.Reduced_Sc_2." hidden="1">{"Reduced Sc 2",#N/A,FALSE,"Deliv B Up 1999 2004 SC 2"}</definedName>
    <definedName name="wrn.Sensitivity._.Analysis." hidden="1">{"Sensitivities",#N/A,FALSE,"Sensitivities"}</definedName>
    <definedName name="wrn.Sensitivity._.Analysis._1" hidden="1">{"Sensitivities",#N/A,FALSE,"Sensitivities"}</definedName>
    <definedName name="wrn.Summary._.results." hidden="1">{"key inputs",#N/A,TRUE,"Key Inputs";"key outputs",#N/A,TRUE,"Outputs";"Other inputs",#N/A,TRUE,"Other Inputs";"Revenue",#N/A,TRUE,"Rev"}</definedName>
    <definedName name="x" hidden="1">{#N/A,#N/A,FALSE,"Board Rpt 1";#N/A,#N/A,FALSE,"Board Rpt 2";#N/A,#N/A,FALSE,"Board Rpt 3";#N/A,#N/A,FALSE,"Board Rpt 4";#N/A,#N/A,FALSE,"Board Rpt 5";#N/A,#N/A,FALSE,"Board Rpt 6";#N/A,#N/A,FALSE,"Board Rpt 7";#N/A,#N/A,FALSE,"Board Rpt 8";#N/A,#N/A,FALSE,"Board Rpt 9"}</definedName>
    <definedName name="xxxx" hidden="1">{#N/A,#N/A,FALSE,"Board Rpt 1";#N/A,#N/A,FALSE,"Board Rpt 2";#N/A,#N/A,FALSE,"Board Rpt 3";#N/A,#N/A,FALSE,"Board Rpt 4";#N/A,#N/A,FALSE,"Board Rpt 5";#N/A,#N/A,FALSE,"Board Rpt 6";#N/A,#N/A,FALSE,"Board Rpt 7";#N/A,#N/A,FALSE,"Board Rpt 8";#N/A,#N/A,FALSE,"Board Rpt 9"}</definedName>
    <definedName name="xyz" hidden="1">{#N/A,#N/A,FALSE,"Board Rpt 1";#N/A,#N/A,FALSE,"Board Rpt 2";#N/A,#N/A,FALSE,"Board Rpt 3";#N/A,#N/A,FALSE,"Board Rpt 4";#N/A,#N/A,FALSE,"Board Rpt 5";#N/A,#N/A,FALSE,"Board Rpt 6";#N/A,#N/A,FALSE,"Board Rpt 7";#N/A,#N/A,FALSE,"Board Rpt 8";#N/A,#N/A,FALSE,"Board Rpt 9"}</definedName>
    <definedName name="xyz_1" hidden="1">{#N/A,#N/A,FALSE,"Board Rpt 1";#N/A,#N/A,FALSE,"Board Rpt 2";#N/A,#N/A,FALSE,"Board Rpt 3";#N/A,#N/A,FALSE,"Board Rpt 4";#N/A,#N/A,FALSE,"Board Rpt 5";#N/A,#N/A,FALSE,"Board Rpt 6";#N/A,#N/A,FALSE,"Board Rpt 7";#N/A,#N/A,FALSE,"Board Rpt 8";#N/A,#N/A,FALSE,"Board Rpt 9"}</definedName>
    <definedName name="xyzz" hidden="1">{#N/A,#N/A,FALSE,"Board Rpt 1";#N/A,#N/A,FALSE,"Board Rpt 2";#N/A,#N/A,FALSE,"Board Rpt 3";#N/A,#N/A,FALSE,"Board Rpt 4";#N/A,#N/A,FALSE,"Board Rpt 5";#N/A,#N/A,FALSE,"Board Rpt 6";#N/A,#N/A,FALSE,"Board Rpt 7";#N/A,#N/A,FALSE,"Board Rpt 8";#N/A,#N/A,FALSE,"Board Rpt 9"}</definedName>
    <definedName name="xyzz_1" hidden="1">{#N/A,#N/A,FALSE,"Board Rpt 1";#N/A,#N/A,FALSE,"Board Rpt 2";#N/A,#N/A,FALSE,"Board Rpt 3";#N/A,#N/A,FALSE,"Board Rpt 4";#N/A,#N/A,FALSE,"Board Rpt 5";#N/A,#N/A,FALSE,"Board Rpt 6";#N/A,#N/A,FALSE,"Board Rpt 7";#N/A,#N/A,FALSE,"Board Rpt 8";#N/A,#N/A,FALSE,"Board Rpt 9"}</definedName>
    <definedName name="y" hidden="1">{#N/A,#N/A,FALSE,"Board Rpt 1";#N/A,#N/A,FALSE,"Board Rpt 2";#N/A,#N/A,FALSE,"Board Rpt 3";#N/A,#N/A,FALSE,"Board Rpt 4";#N/A,#N/A,FALSE,"Board Rpt 5";#N/A,#N/A,FALSE,"Board Rpt 6";#N/A,#N/A,FALSE,"Board Rpt 7";#N/A,#N/A,FALSE,"Board Rpt 8";#N/A,#N/A,FALSE,"Board Rpt 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21" i="33" l="1"/>
  <c r="AK21" i="33"/>
  <c r="AG21" i="33"/>
  <c r="AC21" i="33"/>
  <c r="Y21" i="33"/>
  <c r="U21" i="33"/>
  <c r="Q21" i="33"/>
  <c r="M21" i="33"/>
  <c r="I21" i="33"/>
  <c r="E21" i="33"/>
  <c r="AA21" i="33"/>
  <c r="AO16" i="33"/>
  <c r="AK16" i="33"/>
  <c r="AG16" i="33"/>
  <c r="AC16" i="33"/>
  <c r="Y16" i="33"/>
  <c r="U16" i="33"/>
  <c r="Q16" i="33"/>
  <c r="AO15" i="33"/>
  <c r="AK15" i="33"/>
  <c r="AG15" i="33"/>
  <c r="AC15" i="33"/>
  <c r="Y15" i="33"/>
  <c r="U15" i="33"/>
  <c r="Q15" i="33"/>
  <c r="AO14" i="33"/>
  <c r="AK14" i="33"/>
  <c r="AG14" i="33"/>
  <c r="AC14" i="33"/>
  <c r="Y14" i="33"/>
  <c r="U14" i="33"/>
  <c r="Q14" i="33"/>
  <c r="AM17" i="33"/>
  <c r="AI17" i="33"/>
  <c r="AE17" i="33"/>
  <c r="AA17" i="33"/>
  <c r="W17" i="33"/>
  <c r="S17" i="33"/>
  <c r="O17" i="33"/>
  <c r="K17" i="33"/>
  <c r="G17" i="33"/>
  <c r="C17" i="33"/>
  <c r="AE10" i="33"/>
  <c r="AA10" i="33"/>
  <c r="S10" i="33"/>
  <c r="O10" i="33"/>
  <c r="G10" i="33"/>
  <c r="C10" i="33"/>
  <c r="AS10" i="33"/>
  <c r="AS7" i="33"/>
  <c r="F13" i="32"/>
  <c r="E13" i="32"/>
  <c r="F8" i="32"/>
  <c r="S4" i="32"/>
  <c r="S11" i="32" s="1"/>
  <c r="R4" i="32"/>
  <c r="R11" i="32" s="1"/>
  <c r="Q4" i="32"/>
  <c r="Q11" i="32" s="1"/>
  <c r="P4" i="32"/>
  <c r="P11" i="32" s="1"/>
  <c r="O4" i="32"/>
  <c r="O11" i="32" s="1"/>
  <c r="N4" i="32"/>
  <c r="N11" i="32" s="1"/>
  <c r="M4" i="32"/>
  <c r="M11" i="32" s="1"/>
  <c r="L4" i="32"/>
  <c r="L11" i="32" s="1"/>
  <c r="K4" i="32"/>
  <c r="K11" i="32" s="1"/>
  <c r="J4" i="32"/>
  <c r="J11" i="32" s="1"/>
  <c r="C20" i="31"/>
  <c r="E29" i="31"/>
  <c r="E27" i="31"/>
  <c r="E26" i="31"/>
  <c r="E20" i="31"/>
  <c r="E19" i="31"/>
  <c r="F13" i="31"/>
  <c r="F27" i="31" s="1"/>
  <c r="F29" i="31" s="1"/>
  <c r="E13" i="31"/>
  <c r="C13" i="31"/>
  <c r="E12" i="31"/>
  <c r="F8" i="31"/>
  <c r="F20" i="31" s="1"/>
  <c r="F26" i="31" s="1"/>
  <c r="S4" i="31"/>
  <c r="S17" i="31" s="1"/>
  <c r="R4" i="31"/>
  <c r="R17" i="31" s="1"/>
  <c r="Q4" i="31"/>
  <c r="Q17" i="31" s="1"/>
  <c r="P4" i="31"/>
  <c r="P24" i="31" s="1"/>
  <c r="O4" i="31"/>
  <c r="O24" i="31" s="1"/>
  <c r="N4" i="31"/>
  <c r="N24" i="31" s="1"/>
  <c r="M4" i="31"/>
  <c r="M10" i="31" s="1"/>
  <c r="L4" i="31"/>
  <c r="L10" i="31" s="1"/>
  <c r="K4" i="31"/>
  <c r="K10" i="31" s="1"/>
  <c r="J4" i="31"/>
  <c r="J17" i="31" s="1"/>
  <c r="AI21" i="33" l="1"/>
  <c r="AM21" i="33"/>
  <c r="AM23" i="33" s="1"/>
  <c r="Q10" i="33"/>
  <c r="U10" i="33"/>
  <c r="AC10" i="33"/>
  <c r="W21" i="33"/>
  <c r="AG10" i="33"/>
  <c r="AI23" i="33"/>
  <c r="AE21" i="33"/>
  <c r="AE23" i="33" s="1"/>
  <c r="M9" i="33"/>
  <c r="AJ13" i="33"/>
  <c r="AB15" i="33"/>
  <c r="K17" i="31"/>
  <c r="E10" i="33"/>
  <c r="Y13" i="33"/>
  <c r="AK13" i="33"/>
  <c r="I17" i="33"/>
  <c r="L17" i="31"/>
  <c r="C9" i="33"/>
  <c r="O9" i="33"/>
  <c r="AA9" i="33"/>
  <c r="AM9" i="33"/>
  <c r="K10" i="33"/>
  <c r="W10" i="33"/>
  <c r="AI10" i="33"/>
  <c r="AA23" i="33"/>
  <c r="AB10" i="33" s="1"/>
  <c r="M10" i="33"/>
  <c r="AJ14" i="33"/>
  <c r="AB16" i="33"/>
  <c r="Q13" i="33"/>
  <c r="AC13" i="33"/>
  <c r="AO13" i="33"/>
  <c r="G9" i="33"/>
  <c r="S9" i="33"/>
  <c r="AE9" i="33"/>
  <c r="AM10" i="33"/>
  <c r="AJ11" i="33"/>
  <c r="AB14" i="33"/>
  <c r="U13" i="33"/>
  <c r="AG13" i="33"/>
  <c r="K9" i="33"/>
  <c r="W9" i="33"/>
  <c r="AI9" i="33"/>
  <c r="J10" i="31"/>
  <c r="N10" i="31"/>
  <c r="P10" i="31"/>
  <c r="K24" i="31"/>
  <c r="O10" i="31"/>
  <c r="Q24" i="31"/>
  <c r="R10" i="31"/>
  <c r="R24" i="31"/>
  <c r="M17" i="31"/>
  <c r="S24" i="31"/>
  <c r="Q10" i="31"/>
  <c r="N17" i="31"/>
  <c r="S10" i="31"/>
  <c r="P17" i="31"/>
  <c r="J24" i="31"/>
  <c r="L24" i="31"/>
  <c r="O17" i="31"/>
  <c r="M24" i="31"/>
  <c r="E52" i="30"/>
  <c r="E51" i="30"/>
  <c r="E50" i="30"/>
  <c r="F47" i="30"/>
  <c r="F50" i="30" s="1"/>
  <c r="E47" i="30"/>
  <c r="E29" i="30"/>
  <c r="E27" i="30"/>
  <c r="E26" i="30"/>
  <c r="E20" i="30"/>
  <c r="C20" i="30"/>
  <c r="E19" i="30"/>
  <c r="E13" i="30"/>
  <c r="C13" i="30"/>
  <c r="E12" i="30"/>
  <c r="F8" i="30"/>
  <c r="F52" i="30" s="1"/>
  <c r="S4" i="30"/>
  <c r="S33" i="30" s="1"/>
  <c r="R4" i="30"/>
  <c r="R24" i="30" s="1"/>
  <c r="Q4" i="30"/>
  <c r="Q24" i="30" s="1"/>
  <c r="P4" i="30"/>
  <c r="P33" i="30" s="1"/>
  <c r="O4" i="30"/>
  <c r="O33" i="30" s="1"/>
  <c r="N4" i="30"/>
  <c r="N10" i="30" s="1"/>
  <c r="M4" i="30"/>
  <c r="M10" i="30" s="1"/>
  <c r="L4" i="30"/>
  <c r="L10" i="30" s="1"/>
  <c r="K4" i="30"/>
  <c r="K24" i="30" s="1"/>
  <c r="J4" i="30"/>
  <c r="J24" i="30" s="1"/>
  <c r="F10" i="33" l="1"/>
  <c r="AN23" i="33"/>
  <c r="AN20" i="33"/>
  <c r="AN15" i="33"/>
  <c r="AN17" i="33"/>
  <c r="AN19" i="33"/>
  <c r="AN14" i="33"/>
  <c r="AN16" i="33"/>
  <c r="AN13" i="33"/>
  <c r="AN11" i="33"/>
  <c r="AF19" i="33"/>
  <c r="AF23" i="33"/>
  <c r="AF14" i="33"/>
  <c r="AF11" i="33"/>
  <c r="AF13" i="33"/>
  <c r="AF10" i="33"/>
  <c r="AF17" i="33"/>
  <c r="AF16" i="33"/>
  <c r="AF15" i="33"/>
  <c r="F16" i="33"/>
  <c r="J15" i="33"/>
  <c r="J14" i="33"/>
  <c r="AJ23" i="33"/>
  <c r="AJ19" i="33"/>
  <c r="AJ16" i="33"/>
  <c r="K21" i="33"/>
  <c r="F15" i="33"/>
  <c r="AB19" i="33"/>
  <c r="AB23" i="33"/>
  <c r="AB20" i="33"/>
  <c r="AO9" i="33"/>
  <c r="AN9" i="33"/>
  <c r="AK17" i="33"/>
  <c r="AJ15" i="33"/>
  <c r="AO17" i="33"/>
  <c r="AC9" i="33"/>
  <c r="AB9" i="33"/>
  <c r="Y17" i="33"/>
  <c r="S21" i="33"/>
  <c r="AC17" i="33"/>
  <c r="Q9" i="33"/>
  <c r="M17" i="33"/>
  <c r="AB11" i="33"/>
  <c r="AJ17" i="33"/>
  <c r="AB21" i="33"/>
  <c r="AG17" i="33"/>
  <c r="U17" i="33"/>
  <c r="AK10" i="33"/>
  <c r="AJ10" i="33"/>
  <c r="C21" i="33"/>
  <c r="AN10" i="33"/>
  <c r="AO10" i="33"/>
  <c r="Q17" i="33"/>
  <c r="AB13" i="33"/>
  <c r="E23" i="33"/>
  <c r="E9" i="33"/>
  <c r="F9" i="33" s="1"/>
  <c r="F11" i="33"/>
  <c r="Y10" i="33"/>
  <c r="X10" i="33"/>
  <c r="AJ9" i="33"/>
  <c r="AK9" i="33"/>
  <c r="AG9" i="33"/>
  <c r="AF9" i="33"/>
  <c r="E17" i="33"/>
  <c r="F13" i="33"/>
  <c r="AJ20" i="33"/>
  <c r="O21" i="33"/>
  <c r="X9" i="33"/>
  <c r="Y9" i="33"/>
  <c r="U9" i="33"/>
  <c r="I23" i="33"/>
  <c r="I9" i="33"/>
  <c r="J9" i="33" s="1"/>
  <c r="J11" i="33"/>
  <c r="I10" i="33"/>
  <c r="J10" i="33" s="1"/>
  <c r="AB17" i="33"/>
  <c r="AJ21" i="33"/>
  <c r="AF20" i="33"/>
  <c r="X21" i="33"/>
  <c r="W23" i="33"/>
  <c r="AF21" i="33"/>
  <c r="G21" i="33"/>
  <c r="J17" i="33"/>
  <c r="AN21" i="33"/>
  <c r="Q10" i="30"/>
  <c r="M17" i="30"/>
  <c r="M24" i="30"/>
  <c r="R10" i="30"/>
  <c r="R49" i="30"/>
  <c r="R33" i="30"/>
  <c r="F13" i="30"/>
  <c r="F27" i="30" s="1"/>
  <c r="F29" i="30" s="1"/>
  <c r="L17" i="30"/>
  <c r="S49" i="30"/>
  <c r="K10" i="30"/>
  <c r="P10" i="30"/>
  <c r="L24" i="30"/>
  <c r="S47" i="30"/>
  <c r="S50" i="30" s="1"/>
  <c r="R47" i="30"/>
  <c r="R50" i="30" s="1"/>
  <c r="Q47" i="30"/>
  <c r="Q50" i="30" s="1"/>
  <c r="P47" i="30"/>
  <c r="P50" i="30" s="1"/>
  <c r="O47" i="30"/>
  <c r="O50" i="30" s="1"/>
  <c r="S10" i="30"/>
  <c r="P17" i="30"/>
  <c r="F20" i="30"/>
  <c r="F26" i="30" s="1"/>
  <c r="P24" i="30"/>
  <c r="J10" i="30"/>
  <c r="S17" i="30"/>
  <c r="S24" i="30"/>
  <c r="Q33" i="30"/>
  <c r="J17" i="30"/>
  <c r="O49" i="30"/>
  <c r="N17" i="30"/>
  <c r="N24" i="30"/>
  <c r="K17" i="30"/>
  <c r="P49" i="30"/>
  <c r="F51" i="30"/>
  <c r="O10" i="30"/>
  <c r="Q49" i="30"/>
  <c r="O17" i="30"/>
  <c r="O24" i="30"/>
  <c r="Q17" i="30"/>
  <c r="R17" i="30"/>
  <c r="P21" i="33" l="1"/>
  <c r="O23" i="33"/>
  <c r="Q11" i="33"/>
  <c r="AC11" i="33"/>
  <c r="C23" i="33"/>
  <c r="D21" i="33" s="1"/>
  <c r="F20" i="33"/>
  <c r="F23" i="33"/>
  <c r="F19" i="33"/>
  <c r="F21" i="33"/>
  <c r="F14" i="33"/>
  <c r="M23" i="33"/>
  <c r="N17" i="33" s="1"/>
  <c r="X23" i="33"/>
  <c r="X16" i="33"/>
  <c r="X20" i="33"/>
  <c r="X13" i="33"/>
  <c r="X19" i="33"/>
  <c r="X11" i="33"/>
  <c r="X15" i="33"/>
  <c r="X17" i="33"/>
  <c r="X14" i="33"/>
  <c r="F17" i="33"/>
  <c r="S23" i="33"/>
  <c r="G23" i="33"/>
  <c r="H21" i="33" s="1"/>
  <c r="J23" i="33"/>
  <c r="J20" i="33"/>
  <c r="J21" i="33"/>
  <c r="J19" i="33"/>
  <c r="J16" i="33"/>
  <c r="J13" i="33"/>
  <c r="AG11" i="33"/>
  <c r="AO11" i="33"/>
  <c r="Y11" i="33"/>
  <c r="K23" i="33"/>
  <c r="L21" i="33" s="1"/>
  <c r="U11" i="33"/>
  <c r="AK11" i="33"/>
  <c r="F39" i="13"/>
  <c r="E39" i="13"/>
  <c r="AO23" i="33" l="1"/>
  <c r="AC23" i="33"/>
  <c r="AD11" i="33" s="1"/>
  <c r="T23" i="33"/>
  <c r="T17" i="33"/>
  <c r="T16" i="33"/>
  <c r="T11" i="33"/>
  <c r="T10" i="33"/>
  <c r="T15" i="33"/>
  <c r="T14" i="33"/>
  <c r="T13" i="33"/>
  <c r="T20" i="33"/>
  <c r="T9" i="33"/>
  <c r="T19" i="33"/>
  <c r="AK23" i="33"/>
  <c r="H23" i="33"/>
  <c r="H16" i="33"/>
  <c r="H15" i="33"/>
  <c r="H17" i="33"/>
  <c r="H14" i="33"/>
  <c r="H11" i="33"/>
  <c r="H13" i="33"/>
  <c r="H10" i="33"/>
  <c r="H9" i="33"/>
  <c r="H20" i="33"/>
  <c r="H19" i="33"/>
  <c r="T21" i="33"/>
  <c r="D23" i="33"/>
  <c r="D15" i="33"/>
  <c r="D14" i="33"/>
  <c r="D10" i="33"/>
  <c r="D13" i="33"/>
  <c r="D11" i="33"/>
  <c r="D16" i="33"/>
  <c r="D17" i="33"/>
  <c r="D20" i="33"/>
  <c r="D9" i="33"/>
  <c r="D19" i="33"/>
  <c r="N19" i="33"/>
  <c r="N23" i="33"/>
  <c r="N20" i="33"/>
  <c r="N11" i="33"/>
  <c r="N15" i="33"/>
  <c r="N21" i="33"/>
  <c r="N14" i="33"/>
  <c r="N10" i="33"/>
  <c r="N13" i="33"/>
  <c r="N16" i="33"/>
  <c r="N9" i="33"/>
  <c r="Q23" i="33"/>
  <c r="R11" i="33"/>
  <c r="AG23" i="33"/>
  <c r="AH11" i="33"/>
  <c r="U23" i="33"/>
  <c r="V11" i="33"/>
  <c r="L23" i="33"/>
  <c r="L20" i="33"/>
  <c r="L16" i="33"/>
  <c r="L14" i="33"/>
  <c r="L17" i="33"/>
  <c r="L13" i="33"/>
  <c r="L15" i="33"/>
  <c r="L11" i="33"/>
  <c r="L10" i="33"/>
  <c r="L19" i="33"/>
  <c r="L9" i="33"/>
  <c r="Y23" i="33"/>
  <c r="P23" i="33"/>
  <c r="P15" i="33"/>
  <c r="P17" i="33"/>
  <c r="P14" i="33"/>
  <c r="P10" i="33"/>
  <c r="P13" i="33"/>
  <c r="P11" i="33"/>
  <c r="P16" i="33"/>
  <c r="P9" i="33"/>
  <c r="P20" i="33"/>
  <c r="P19" i="33"/>
  <c r="AP20" i="33" l="1"/>
  <c r="AP23" i="33"/>
  <c r="AP19" i="33"/>
  <c r="AP15" i="33"/>
  <c r="AP21" i="33"/>
  <c r="AP16" i="33"/>
  <c r="AP14" i="33"/>
  <c r="AP13" i="33"/>
  <c r="AP10" i="33"/>
  <c r="AP17" i="33"/>
  <c r="AP9" i="33"/>
  <c r="V23" i="33"/>
  <c r="V20" i="33"/>
  <c r="V21" i="33"/>
  <c r="V19" i="33"/>
  <c r="V15" i="33"/>
  <c r="V14" i="33"/>
  <c r="V16" i="33"/>
  <c r="V10" i="33"/>
  <c r="V13" i="33"/>
  <c r="V17" i="33"/>
  <c r="V9" i="33"/>
  <c r="Z20" i="33"/>
  <c r="Z19" i="33"/>
  <c r="Z23" i="33"/>
  <c r="Z14" i="33"/>
  <c r="Z15" i="33"/>
  <c r="Z16" i="33"/>
  <c r="Z21" i="33"/>
  <c r="Z13" i="33"/>
  <c r="Z9" i="33"/>
  <c r="Z17" i="33"/>
  <c r="Z10" i="33"/>
  <c r="AL20" i="33"/>
  <c r="AL23" i="33"/>
  <c r="AL19" i="33"/>
  <c r="AL14" i="33"/>
  <c r="AL16" i="33"/>
  <c r="AL21" i="33"/>
  <c r="AL15" i="33"/>
  <c r="AL13" i="33"/>
  <c r="AL10" i="33"/>
  <c r="AL9" i="33"/>
  <c r="AL17" i="33"/>
  <c r="Z11" i="33"/>
  <c r="R19" i="33"/>
  <c r="R23" i="33"/>
  <c r="R20" i="33"/>
  <c r="R21" i="33"/>
  <c r="R16" i="33"/>
  <c r="R14" i="33"/>
  <c r="R15" i="33"/>
  <c r="R13" i="33"/>
  <c r="R10" i="33"/>
  <c r="R9" i="33"/>
  <c r="R17" i="33"/>
  <c r="AL11" i="33"/>
  <c r="AH23" i="33"/>
  <c r="AH19" i="33"/>
  <c r="AH21" i="33"/>
  <c r="AH20" i="33"/>
  <c r="AH15" i="33"/>
  <c r="AH16" i="33"/>
  <c r="AH14" i="33"/>
  <c r="AH13" i="33"/>
  <c r="AH10" i="33"/>
  <c r="AH17" i="33"/>
  <c r="AH9" i="33"/>
  <c r="AD19" i="33"/>
  <c r="AD23" i="33"/>
  <c r="AD20" i="33"/>
  <c r="AD14" i="33"/>
  <c r="AD15" i="33"/>
  <c r="AD21" i="33"/>
  <c r="AD16" i="33"/>
  <c r="AD10" i="33"/>
  <c r="AD13" i="33"/>
  <c r="AD17" i="33"/>
  <c r="AD9" i="33"/>
  <c r="AP11" i="33"/>
  <c r="F37" i="17"/>
  <c r="S4" i="28" l="1"/>
  <c r="R4" i="28"/>
  <c r="Q4" i="28"/>
  <c r="P4" i="28"/>
  <c r="O4" i="28"/>
  <c r="N4" i="28"/>
  <c r="M4" i="28"/>
  <c r="M147" i="28" s="1"/>
  <c r="L4" i="28"/>
  <c r="L147" i="28" s="1"/>
  <c r="K4" i="28"/>
  <c r="K147" i="28" s="1"/>
  <c r="J4" i="28"/>
  <c r="J147" i="28" s="1"/>
  <c r="I4" i="28"/>
  <c r="I147" i="28" s="1"/>
  <c r="E159" i="28"/>
  <c r="E158" i="28"/>
  <c r="F157" i="28"/>
  <c r="E157" i="28"/>
  <c r="E155" i="28"/>
  <c r="E154" i="28"/>
  <c r="E153" i="28"/>
  <c r="E151" i="28"/>
  <c r="E150" i="28"/>
  <c r="E149" i="28"/>
  <c r="E144" i="28"/>
  <c r="P142" i="28"/>
  <c r="E142" i="28"/>
  <c r="E141" i="28"/>
  <c r="E139" i="28"/>
  <c r="E137" i="28"/>
  <c r="E136" i="28"/>
  <c r="E135" i="28"/>
  <c r="E133" i="28"/>
  <c r="E132" i="28"/>
  <c r="E131" i="28"/>
  <c r="E130" i="28"/>
  <c r="E129" i="28"/>
  <c r="E127" i="28"/>
  <c r="E126" i="28"/>
  <c r="E125" i="28"/>
  <c r="E121" i="28"/>
  <c r="E119" i="28"/>
  <c r="V118" i="28"/>
  <c r="E118" i="28"/>
  <c r="E116" i="28"/>
  <c r="E114" i="28"/>
  <c r="E113" i="28"/>
  <c r="T112" i="28"/>
  <c r="P112" i="28"/>
  <c r="E112" i="28"/>
  <c r="E110" i="28"/>
  <c r="E109" i="28"/>
  <c r="E108" i="28"/>
  <c r="W107" i="28"/>
  <c r="E107" i="28"/>
  <c r="E106" i="28"/>
  <c r="E104" i="28"/>
  <c r="E103" i="28"/>
  <c r="E102" i="28"/>
  <c r="E98" i="28"/>
  <c r="E96" i="28"/>
  <c r="E95" i="28"/>
  <c r="E93" i="28"/>
  <c r="E91" i="28"/>
  <c r="T90" i="28"/>
  <c r="E90" i="28"/>
  <c r="E89" i="28"/>
  <c r="E87" i="28"/>
  <c r="E86" i="28"/>
  <c r="E85" i="28"/>
  <c r="E84" i="28"/>
  <c r="E83" i="28"/>
  <c r="E81" i="28"/>
  <c r="P80" i="28"/>
  <c r="E80" i="28"/>
  <c r="W79" i="28"/>
  <c r="E79" i="28"/>
  <c r="E75" i="28"/>
  <c r="E73" i="28"/>
  <c r="V72" i="28"/>
  <c r="E72" i="28"/>
  <c r="E70" i="28"/>
  <c r="E68" i="28"/>
  <c r="E67" i="28"/>
  <c r="V66" i="28"/>
  <c r="E66" i="28"/>
  <c r="E64" i="28"/>
  <c r="E63" i="28"/>
  <c r="E62" i="28"/>
  <c r="E61" i="28"/>
  <c r="E60" i="28"/>
  <c r="E58" i="28"/>
  <c r="E57" i="28"/>
  <c r="E56" i="28"/>
  <c r="E52" i="28"/>
  <c r="W50" i="28"/>
  <c r="T50" i="28"/>
  <c r="V50" i="28"/>
  <c r="P50" i="28"/>
  <c r="E50" i="28"/>
  <c r="W49" i="28"/>
  <c r="T49" i="28"/>
  <c r="V49" i="28"/>
  <c r="X49" i="28" s="1"/>
  <c r="P49" i="28"/>
  <c r="E49" i="28"/>
  <c r="E47" i="28"/>
  <c r="S45" i="28"/>
  <c r="R45" i="28"/>
  <c r="O45" i="28"/>
  <c r="E45" i="28"/>
  <c r="V44" i="28"/>
  <c r="T44" i="28"/>
  <c r="W44" i="28"/>
  <c r="X44" i="28" s="1"/>
  <c r="E44" i="28"/>
  <c r="W43" i="28"/>
  <c r="T43" i="28"/>
  <c r="N45" i="28"/>
  <c r="E43" i="28"/>
  <c r="E41" i="28"/>
  <c r="W40" i="28"/>
  <c r="T40" i="28"/>
  <c r="V40" i="28"/>
  <c r="P40" i="28"/>
  <c r="E40" i="28"/>
  <c r="V39" i="28"/>
  <c r="W39" i="28"/>
  <c r="P39" i="28"/>
  <c r="E39" i="28"/>
  <c r="S41" i="28"/>
  <c r="R41" i="28"/>
  <c r="P38" i="28"/>
  <c r="E38" i="28"/>
  <c r="V37" i="28"/>
  <c r="T37" i="28"/>
  <c r="W37" i="28"/>
  <c r="N41" i="28"/>
  <c r="E37" i="28"/>
  <c r="O35" i="28"/>
  <c r="N35" i="28"/>
  <c r="E35" i="28"/>
  <c r="W34" i="28"/>
  <c r="T34" i="28"/>
  <c r="S35" i="28"/>
  <c r="V34" i="28"/>
  <c r="P34" i="28"/>
  <c r="E34" i="28"/>
  <c r="W33" i="28"/>
  <c r="V33" i="28"/>
  <c r="P33" i="28"/>
  <c r="E33" i="28"/>
  <c r="E27" i="28"/>
  <c r="E25" i="28"/>
  <c r="E24" i="28"/>
  <c r="E18" i="28"/>
  <c r="E12" i="28"/>
  <c r="F158" i="28"/>
  <c r="S104" i="28" l="1"/>
  <c r="P90" i="28"/>
  <c r="V119" i="28"/>
  <c r="P67" i="28"/>
  <c r="T67" i="28"/>
  <c r="V102" i="28"/>
  <c r="W126" i="28"/>
  <c r="W89" i="28"/>
  <c r="W95" i="28"/>
  <c r="W113" i="28"/>
  <c r="R58" i="28"/>
  <c r="X34" i="28"/>
  <c r="T62" i="28"/>
  <c r="V108" i="28"/>
  <c r="M22" i="28"/>
  <c r="M10" i="28"/>
  <c r="M16" i="28"/>
  <c r="T107" i="28"/>
  <c r="R104" i="28"/>
  <c r="W135" i="28"/>
  <c r="S68" i="28"/>
  <c r="W57" i="28"/>
  <c r="N58" i="28"/>
  <c r="T86" i="28"/>
  <c r="V142" i="28"/>
  <c r="T80" i="28"/>
  <c r="W108" i="28"/>
  <c r="W142" i="28"/>
  <c r="P96" i="28"/>
  <c r="P107" i="28"/>
  <c r="P141" i="28"/>
  <c r="P60" i="28"/>
  <c r="V141" i="28"/>
  <c r="V60" i="28"/>
  <c r="W141" i="28"/>
  <c r="X141" i="28" s="1"/>
  <c r="N91" i="28"/>
  <c r="V136" i="28"/>
  <c r="S110" i="28"/>
  <c r="N127" i="28"/>
  <c r="T132" i="28"/>
  <c r="P79" i="28"/>
  <c r="P81" i="28" s="1"/>
  <c r="K149" i="28" s="1"/>
  <c r="V83" i="28"/>
  <c r="V109" i="28"/>
  <c r="P131" i="28"/>
  <c r="W62" i="28"/>
  <c r="T135" i="28"/>
  <c r="O68" i="28"/>
  <c r="V129" i="28"/>
  <c r="S137" i="28"/>
  <c r="P125" i="28"/>
  <c r="W67" i="28"/>
  <c r="O91" i="28"/>
  <c r="R127" i="28"/>
  <c r="T129" i="28"/>
  <c r="T89" i="28"/>
  <c r="T91" i="28" s="1"/>
  <c r="S114" i="28"/>
  <c r="T118" i="28"/>
  <c r="T125" i="28"/>
  <c r="T61" i="28"/>
  <c r="W80" i="28"/>
  <c r="W81" i="28" s="1"/>
  <c r="P129" i="28"/>
  <c r="V56" i="28"/>
  <c r="V107" i="28"/>
  <c r="X107" i="28" s="1"/>
  <c r="P113" i="28"/>
  <c r="P114" i="28" s="1"/>
  <c r="P132" i="28"/>
  <c r="W61" i="28"/>
  <c r="S91" i="28"/>
  <c r="W96" i="28"/>
  <c r="W103" i="28"/>
  <c r="V113" i="28"/>
  <c r="X113" i="28" s="1"/>
  <c r="P119" i="28"/>
  <c r="P126" i="28"/>
  <c r="F151" i="28"/>
  <c r="F12" i="28" s="1"/>
  <c r="F25" i="28" s="1"/>
  <c r="F27" i="28" s="1"/>
  <c r="V73" i="28"/>
  <c r="V90" i="28"/>
  <c r="N81" i="28"/>
  <c r="V126" i="28"/>
  <c r="X126" i="28" s="1"/>
  <c r="R133" i="28"/>
  <c r="W132" i="28"/>
  <c r="P35" i="28"/>
  <c r="S64" i="28"/>
  <c r="N104" i="28"/>
  <c r="W119" i="28"/>
  <c r="X119" i="28" s="1"/>
  <c r="T142" i="28"/>
  <c r="W60" i="28"/>
  <c r="O104" i="28"/>
  <c r="N110" i="28"/>
  <c r="W86" i="28"/>
  <c r="V95" i="28"/>
  <c r="P61" i="28"/>
  <c r="V63" i="28"/>
  <c r="V106" i="28"/>
  <c r="T108" i="28"/>
  <c r="W118" i="28"/>
  <c r="X118" i="28" s="1"/>
  <c r="P66" i="28"/>
  <c r="P68" i="28" s="1"/>
  <c r="T83" i="28"/>
  <c r="R91" i="28"/>
  <c r="T102" i="28"/>
  <c r="P106" i="28"/>
  <c r="T109" i="28"/>
  <c r="S133" i="28"/>
  <c r="W136" i="28"/>
  <c r="O58" i="28"/>
  <c r="W63" i="28"/>
  <c r="S81" i="28"/>
  <c r="N87" i="28"/>
  <c r="V86" i="28"/>
  <c r="X86" i="28" s="1"/>
  <c r="P103" i="28"/>
  <c r="T106" i="28"/>
  <c r="O110" i="28"/>
  <c r="W125" i="28"/>
  <c r="W127" i="28" s="1"/>
  <c r="T136" i="28"/>
  <c r="T141" i="28"/>
  <c r="V96" i="28"/>
  <c r="T56" i="28"/>
  <c r="N64" i="28"/>
  <c r="T63" i="28"/>
  <c r="W72" i="28"/>
  <c r="X72" i="28" s="1"/>
  <c r="T96" i="28"/>
  <c r="W106" i="28"/>
  <c r="R110" i="28"/>
  <c r="T113" i="28"/>
  <c r="T114" i="28" s="1"/>
  <c r="V131" i="28"/>
  <c r="N137" i="28"/>
  <c r="S58" i="28"/>
  <c r="R87" i="28"/>
  <c r="P95" i="28"/>
  <c r="V103" i="28"/>
  <c r="V104" i="28" s="1"/>
  <c r="W131" i="28"/>
  <c r="R81" i="28"/>
  <c r="S87" i="28"/>
  <c r="T131" i="28"/>
  <c r="R137" i="28"/>
  <c r="V62" i="28"/>
  <c r="V67" i="28"/>
  <c r="T72" i="28"/>
  <c r="V61" i="28"/>
  <c r="P86" i="28"/>
  <c r="P57" i="28"/>
  <c r="T60" i="28"/>
  <c r="O64" i="28"/>
  <c r="T79" i="28"/>
  <c r="T81" i="28" s="1"/>
  <c r="K153" i="28" s="1"/>
  <c r="P85" i="28"/>
  <c r="T95" i="28"/>
  <c r="O114" i="28"/>
  <c r="W114" i="28" s="1"/>
  <c r="R64" i="28"/>
  <c r="W85" i="28"/>
  <c r="S127" i="28"/>
  <c r="N133" i="28"/>
  <c r="W73" i="28"/>
  <c r="V80" i="28"/>
  <c r="V57" i="28"/>
  <c r="P73" i="28"/>
  <c r="P83" i="28"/>
  <c r="V85" i="28"/>
  <c r="P109" i="28"/>
  <c r="T126" i="28"/>
  <c r="V132" i="28"/>
  <c r="N47" i="28"/>
  <c r="N52" i="28" s="1"/>
  <c r="X39" i="28"/>
  <c r="W35" i="28"/>
  <c r="X50" i="28"/>
  <c r="X40" i="28"/>
  <c r="V45" i="28"/>
  <c r="W45" i="28"/>
  <c r="V35" i="28"/>
  <c r="X33" i="28"/>
  <c r="X37" i="28"/>
  <c r="T45" i="28"/>
  <c r="S47" i="28"/>
  <c r="S52" i="28" s="1"/>
  <c r="O137" i="28"/>
  <c r="F150" i="28"/>
  <c r="V79" i="28"/>
  <c r="P84" i="28"/>
  <c r="V125" i="28"/>
  <c r="P130" i="28"/>
  <c r="F155" i="28"/>
  <c r="F18" i="28" s="1"/>
  <c r="F24" i="28" s="1"/>
  <c r="F159" i="28"/>
  <c r="T39" i="28"/>
  <c r="V112" i="28"/>
  <c r="T38" i="28"/>
  <c r="T57" i="28"/>
  <c r="W66" i="28"/>
  <c r="X66" i="28" s="1"/>
  <c r="T73" i="28"/>
  <c r="O81" i="28"/>
  <c r="T84" i="28"/>
  <c r="T103" i="28"/>
  <c r="W112" i="28"/>
  <c r="T119" i="28"/>
  <c r="O127" i="28"/>
  <c r="T130" i="28"/>
  <c r="P56" i="28"/>
  <c r="V38" i="28"/>
  <c r="P43" i="28"/>
  <c r="P62" i="28"/>
  <c r="N68" i="28"/>
  <c r="V84" i="28"/>
  <c r="P89" i="28"/>
  <c r="P91" i="28" s="1"/>
  <c r="P108" i="28"/>
  <c r="N114" i="28"/>
  <c r="V130" i="28"/>
  <c r="P135" i="28"/>
  <c r="P136" i="28"/>
  <c r="R35" i="28"/>
  <c r="W38" i="28"/>
  <c r="W41" i="28" s="1"/>
  <c r="O41" i="28"/>
  <c r="O47" i="28" s="1"/>
  <c r="O52" i="28" s="1"/>
  <c r="W84" i="28"/>
  <c r="O87" i="28"/>
  <c r="W130" i="28"/>
  <c r="O133" i="28"/>
  <c r="P44" i="28"/>
  <c r="P102" i="28"/>
  <c r="T85" i="28"/>
  <c r="P37" i="28"/>
  <c r="P63" i="28"/>
  <c r="P72" i="28"/>
  <c r="P118" i="28"/>
  <c r="W56" i="28"/>
  <c r="R68" i="28"/>
  <c r="W83" i="28"/>
  <c r="W90" i="28"/>
  <c r="W102" i="28"/>
  <c r="W109" i="28"/>
  <c r="R114" i="28"/>
  <c r="W129" i="28"/>
  <c r="T33" i="28"/>
  <c r="T35" i="28" s="1"/>
  <c r="T66" i="28"/>
  <c r="T68" i="28" s="1"/>
  <c r="V43" i="28"/>
  <c r="X43" i="28" s="1"/>
  <c r="X45" i="28" s="1"/>
  <c r="V89" i="28"/>
  <c r="X89" i="28" s="1"/>
  <c r="V135" i="28"/>
  <c r="X135" i="28" s="1"/>
  <c r="F154" i="28"/>
  <c r="S116" i="28" l="1"/>
  <c r="S121" i="28" s="1"/>
  <c r="X108" i="28"/>
  <c r="T127" i="28"/>
  <c r="I153" i="28" s="1"/>
  <c r="X142" i="28"/>
  <c r="W64" i="28"/>
  <c r="X35" i="28"/>
  <c r="W68" i="28"/>
  <c r="X57" i="28"/>
  <c r="X95" i="28"/>
  <c r="X62" i="28"/>
  <c r="N93" i="28"/>
  <c r="N98" i="28" s="1"/>
  <c r="V110" i="28"/>
  <c r="N139" i="28"/>
  <c r="N144" i="28" s="1"/>
  <c r="W137" i="28"/>
  <c r="T137" i="28"/>
  <c r="P127" i="28"/>
  <c r="I149" i="28" s="1"/>
  <c r="X73" i="28"/>
  <c r="X136" i="28"/>
  <c r="X137" i="28" s="1"/>
  <c r="X60" i="28"/>
  <c r="S93" i="28"/>
  <c r="S98" i="28" s="1"/>
  <c r="X131" i="28"/>
  <c r="O116" i="28"/>
  <c r="O121" i="28" s="1"/>
  <c r="V91" i="28"/>
  <c r="X80" i="28"/>
  <c r="X106" i="28"/>
  <c r="R139" i="28"/>
  <c r="R144" i="28" s="1"/>
  <c r="W91" i="28"/>
  <c r="O139" i="28"/>
  <c r="O144" i="28" s="1"/>
  <c r="V137" i="28"/>
  <c r="V133" i="28"/>
  <c r="S139" i="28"/>
  <c r="S144" i="28" s="1"/>
  <c r="O70" i="28"/>
  <c r="O75" i="28" s="1"/>
  <c r="N116" i="28"/>
  <c r="N121" i="28" s="1"/>
  <c r="P133" i="28"/>
  <c r="X63" i="28"/>
  <c r="X109" i="28"/>
  <c r="X61" i="28"/>
  <c r="S70" i="28"/>
  <c r="S75" i="28" s="1"/>
  <c r="X90" i="28"/>
  <c r="X91" i="28" s="1"/>
  <c r="X84" i="28"/>
  <c r="V87" i="28"/>
  <c r="X67" i="28"/>
  <c r="X68" i="28" s="1"/>
  <c r="T87" i="28"/>
  <c r="T93" i="28" s="1"/>
  <c r="T98" i="28" s="1"/>
  <c r="X96" i="28"/>
  <c r="R93" i="28"/>
  <c r="R98" i="28" s="1"/>
  <c r="P45" i="28"/>
  <c r="X85" i="28"/>
  <c r="V114" i="28"/>
  <c r="V116" i="28" s="1"/>
  <c r="V121" i="28" s="1"/>
  <c r="N70" i="28"/>
  <c r="N75" i="28" s="1"/>
  <c r="P104" i="28"/>
  <c r="J149" i="28" s="1"/>
  <c r="V68" i="28"/>
  <c r="V58" i="28"/>
  <c r="M149" i="28"/>
  <c r="X132" i="28"/>
  <c r="T104" i="28"/>
  <c r="J153" i="28" s="1"/>
  <c r="V64" i="28"/>
  <c r="T110" i="28"/>
  <c r="T116" i="28" s="1"/>
  <c r="T121" i="28" s="1"/>
  <c r="P58" i="28"/>
  <c r="L149" i="28" s="1"/>
  <c r="X103" i="28"/>
  <c r="T64" i="28"/>
  <c r="T58" i="28"/>
  <c r="L153" i="28" s="1"/>
  <c r="R47" i="28"/>
  <c r="R52" i="28" s="1"/>
  <c r="W47" i="28"/>
  <c r="W52" i="28" s="1"/>
  <c r="X38" i="28"/>
  <c r="X41" i="28" s="1"/>
  <c r="X47" i="28" s="1"/>
  <c r="X52" i="28" s="1"/>
  <c r="R116" i="28"/>
  <c r="R121" i="28" s="1"/>
  <c r="T133" i="28"/>
  <c r="M153" i="28"/>
  <c r="T47" i="28"/>
  <c r="T52" i="28" s="1"/>
  <c r="P41" i="28"/>
  <c r="P47" i="28" s="1"/>
  <c r="P52" i="28" s="1"/>
  <c r="P137" i="28"/>
  <c r="X112" i="28"/>
  <c r="X114" i="28" s="1"/>
  <c r="X129" i="28"/>
  <c r="W133" i="28"/>
  <c r="X130" i="28"/>
  <c r="R70" i="28"/>
  <c r="R75" i="28" s="1"/>
  <c r="I157" i="28"/>
  <c r="T41" i="28"/>
  <c r="P64" i="28"/>
  <c r="X56" i="28"/>
  <c r="X58" i="28" s="1"/>
  <c r="W58" i="28"/>
  <c r="W70" i="28" s="1"/>
  <c r="W75" i="28" s="1"/>
  <c r="V127" i="28"/>
  <c r="X125" i="28"/>
  <c r="X127" i="28" s="1"/>
  <c r="X83" i="28"/>
  <c r="W87" i="28"/>
  <c r="O93" i="28"/>
  <c r="O98" i="28" s="1"/>
  <c r="V41" i="28"/>
  <c r="V47" i="28" s="1"/>
  <c r="V52" i="28" s="1"/>
  <c r="P110" i="28"/>
  <c r="V81" i="28"/>
  <c r="X79" i="28"/>
  <c r="K157" i="28"/>
  <c r="W110" i="28"/>
  <c r="X102" i="28"/>
  <c r="W104" i="28"/>
  <c r="P87" i="28"/>
  <c r="P93" i="28" s="1"/>
  <c r="P98" i="28" s="1"/>
  <c r="X110" i="28" l="1"/>
  <c r="T139" i="28"/>
  <c r="T144" i="28" s="1"/>
  <c r="W139" i="28"/>
  <c r="W144" i="28" s="1"/>
  <c r="W93" i="28"/>
  <c r="W98" i="28" s="1"/>
  <c r="X64" i="28"/>
  <c r="X70" i="28" s="1"/>
  <c r="X75" i="28" s="1"/>
  <c r="X81" i="28"/>
  <c r="V93" i="28"/>
  <c r="V98" i="28" s="1"/>
  <c r="V70" i="28"/>
  <c r="V75" i="28" s="1"/>
  <c r="P139" i="28"/>
  <c r="P144" i="28" s="1"/>
  <c r="V139" i="28"/>
  <c r="V144" i="28" s="1"/>
  <c r="X87" i="28"/>
  <c r="X93" i="28" s="1"/>
  <c r="X98" i="28" s="1"/>
  <c r="P70" i="28"/>
  <c r="P75" i="28" s="1"/>
  <c r="P116" i="28"/>
  <c r="P121" i="28" s="1"/>
  <c r="W116" i="28"/>
  <c r="W121" i="28" s="1"/>
  <c r="X104" i="28"/>
  <c r="X116" i="28" s="1"/>
  <c r="X121" i="28" s="1"/>
  <c r="T70" i="28"/>
  <c r="T75" i="28" s="1"/>
  <c r="X133" i="28"/>
  <c r="X139" i="28" s="1"/>
  <c r="X144" i="28" s="1"/>
  <c r="J157" i="28"/>
  <c r="L157" i="28"/>
  <c r="M157" i="28"/>
  <c r="C20" i="15" l="1"/>
  <c r="H70" i="26" l="1"/>
  <c r="H66" i="26"/>
  <c r="H62" i="26"/>
  <c r="H58" i="26"/>
  <c r="H54" i="26"/>
  <c r="H50" i="26"/>
  <c r="F128" i="6"/>
  <c r="F123" i="6"/>
  <c r="F100" i="6"/>
  <c r="S4" i="12"/>
  <c r="S24" i="12" s="1"/>
  <c r="R4" i="12"/>
  <c r="R24" i="12" s="1"/>
  <c r="Q4" i="12"/>
  <c r="Q24" i="12" s="1"/>
  <c r="P4" i="12"/>
  <c r="P24" i="12" s="1"/>
  <c r="O4" i="12"/>
  <c r="O24" i="12" s="1"/>
  <c r="N4" i="12"/>
  <c r="M4" i="12"/>
  <c r="M24" i="12" s="1"/>
  <c r="L4" i="12"/>
  <c r="L24" i="12" s="1"/>
  <c r="K4" i="12"/>
  <c r="K17" i="12" s="1"/>
  <c r="J4" i="12"/>
  <c r="J24" i="12" s="1"/>
  <c r="S4" i="6"/>
  <c r="S103" i="6" s="1"/>
  <c r="R4" i="6"/>
  <c r="R80" i="6" s="1"/>
  <c r="Q4" i="6"/>
  <c r="Q80" i="6" s="1"/>
  <c r="P4" i="6"/>
  <c r="P127" i="6" s="1"/>
  <c r="O4" i="6"/>
  <c r="O127" i="6" s="1"/>
  <c r="N4" i="6"/>
  <c r="N33" i="6" s="1"/>
  <c r="M4" i="6"/>
  <c r="M127" i="6" s="1"/>
  <c r="L4" i="6"/>
  <c r="L80" i="6" s="1"/>
  <c r="K4" i="6"/>
  <c r="K24" i="6" s="1"/>
  <c r="J4" i="6"/>
  <c r="J17" i="6" s="1"/>
  <c r="S4" i="13"/>
  <c r="S44" i="13" s="1"/>
  <c r="R4" i="13"/>
  <c r="R24" i="13" s="1"/>
  <c r="Q4" i="13"/>
  <c r="Q24" i="13" s="1"/>
  <c r="P4" i="13"/>
  <c r="P24" i="13" s="1"/>
  <c r="O4" i="13"/>
  <c r="O24" i="13" s="1"/>
  <c r="N4" i="13"/>
  <c r="N17" i="13" s="1"/>
  <c r="M4" i="13"/>
  <c r="M24" i="13" s="1"/>
  <c r="L4" i="13"/>
  <c r="K4" i="13"/>
  <c r="K10" i="13" s="1"/>
  <c r="J4" i="13"/>
  <c r="J17" i="13" s="1"/>
  <c r="S4" i="15"/>
  <c r="S17" i="15" s="1"/>
  <c r="R4" i="15"/>
  <c r="R17" i="15" s="1"/>
  <c r="Q4" i="15"/>
  <c r="Q17" i="15" s="1"/>
  <c r="P4" i="15"/>
  <c r="P17" i="15" s="1"/>
  <c r="O4" i="15"/>
  <c r="O24" i="15" s="1"/>
  <c r="N4" i="15"/>
  <c r="N17" i="15" s="1"/>
  <c r="M4" i="15"/>
  <c r="M17" i="15" s="1"/>
  <c r="L4" i="15"/>
  <c r="L17" i="15" s="1"/>
  <c r="K4" i="15"/>
  <c r="K24" i="15" s="1"/>
  <c r="J4" i="15"/>
  <c r="J17" i="15" s="1"/>
  <c r="S4" i="17"/>
  <c r="S33" i="17" s="1"/>
  <c r="R4" i="17"/>
  <c r="R33" i="17" s="1"/>
  <c r="Q4" i="17"/>
  <c r="Q33" i="17" s="1"/>
  <c r="P4" i="17"/>
  <c r="P33" i="17" s="1"/>
  <c r="O4" i="17"/>
  <c r="O33" i="17" s="1"/>
  <c r="N4" i="17"/>
  <c r="N10" i="17" s="1"/>
  <c r="M4" i="17"/>
  <c r="M10" i="17" s="1"/>
  <c r="L4" i="17"/>
  <c r="L10" i="17" s="1"/>
  <c r="K4" i="17"/>
  <c r="K10" i="17" s="1"/>
  <c r="J4" i="17"/>
  <c r="J24" i="17" s="1"/>
  <c r="H65" i="8"/>
  <c r="G65" i="8"/>
  <c r="H66" i="8"/>
  <c r="G66" i="8"/>
  <c r="H71" i="26"/>
  <c r="H69" i="26"/>
  <c r="H68" i="26"/>
  <c r="H64" i="26"/>
  <c r="H67" i="26"/>
  <c r="H65" i="26"/>
  <c r="H60" i="26"/>
  <c r="H63" i="26"/>
  <c r="H59" i="26"/>
  <c r="H61" i="26"/>
  <c r="H56" i="26"/>
  <c r="H55" i="26"/>
  <c r="H57" i="26"/>
  <c r="H53" i="26"/>
  <c r="H52" i="26"/>
  <c r="H51" i="26"/>
  <c r="H46" i="26"/>
  <c r="H49" i="26"/>
  <c r="H45" i="26"/>
  <c r="H48" i="26"/>
  <c r="H47" i="26"/>
  <c r="H44" i="26"/>
  <c r="H43" i="26"/>
  <c r="H42" i="26"/>
  <c r="H41" i="26"/>
  <c r="H40" i="26"/>
  <c r="H39" i="26"/>
  <c r="H35" i="26"/>
  <c r="H38" i="26"/>
  <c r="H37" i="26"/>
  <c r="H33" i="26"/>
  <c r="H36" i="26"/>
  <c r="H34" i="26"/>
  <c r="H32" i="26"/>
  <c r="H31" i="26"/>
  <c r="H30" i="26"/>
  <c r="H29" i="26"/>
  <c r="E29" i="26"/>
  <c r="H28" i="26"/>
  <c r="E28" i="26"/>
  <c r="H27" i="26"/>
  <c r="H23" i="26"/>
  <c r="E27" i="26"/>
  <c r="H26" i="26"/>
  <c r="E26" i="26"/>
  <c r="H25" i="26"/>
  <c r="E25" i="26"/>
  <c r="H24" i="26"/>
  <c r="E24" i="26"/>
  <c r="E23" i="26"/>
  <c r="H22" i="26"/>
  <c r="E22" i="26"/>
  <c r="H21" i="26"/>
  <c r="E21" i="26"/>
  <c r="E20" i="26"/>
  <c r="E19" i="26"/>
  <c r="E18" i="26"/>
  <c r="E17" i="26"/>
  <c r="E16" i="26"/>
  <c r="E15" i="26"/>
  <c r="E14" i="26"/>
  <c r="E13" i="26"/>
  <c r="C13" i="17"/>
  <c r="S37" i="17"/>
  <c r="S42" i="17" s="1"/>
  <c r="R37" i="17"/>
  <c r="R42" i="17" s="1"/>
  <c r="Q37" i="17"/>
  <c r="P37" i="17"/>
  <c r="O37" i="17"/>
  <c r="N37" i="17"/>
  <c r="E37" i="17"/>
  <c r="E36" i="17"/>
  <c r="E35" i="17"/>
  <c r="E34" i="17"/>
  <c r="F42" i="17"/>
  <c r="I4" i="4"/>
  <c r="I10" i="4" s="1"/>
  <c r="E13" i="25"/>
  <c r="F8" i="25"/>
  <c r="F13" i="25" s="1"/>
  <c r="S4" i="25"/>
  <c r="R4" i="25"/>
  <c r="Q4" i="25"/>
  <c r="P4" i="25"/>
  <c r="O4" i="25"/>
  <c r="N4" i="25"/>
  <c r="M4" i="25"/>
  <c r="M11" i="25" s="1"/>
  <c r="L4" i="25"/>
  <c r="K4" i="25"/>
  <c r="J4" i="25"/>
  <c r="Q42" i="17"/>
  <c r="P42" i="17"/>
  <c r="O42" i="17"/>
  <c r="N42" i="17"/>
  <c r="E17" i="11"/>
  <c r="S39" i="12"/>
  <c r="S41" i="12" s="1"/>
  <c r="Q39" i="12"/>
  <c r="Q41" i="12" s="1"/>
  <c r="P39" i="12"/>
  <c r="P41" i="12" s="1"/>
  <c r="C20" i="17"/>
  <c r="E43" i="17"/>
  <c r="E42" i="17"/>
  <c r="E29" i="17"/>
  <c r="E27" i="17"/>
  <c r="E26" i="17"/>
  <c r="E20" i="17"/>
  <c r="E19" i="17"/>
  <c r="E13" i="17"/>
  <c r="E12" i="17"/>
  <c r="F8" i="17"/>
  <c r="F43" i="17" s="1"/>
  <c r="S78" i="6"/>
  <c r="R78" i="6"/>
  <c r="Q78" i="6"/>
  <c r="P78" i="6"/>
  <c r="O78" i="6"/>
  <c r="N78" i="6"/>
  <c r="F53" i="6"/>
  <c r="L85" i="6"/>
  <c r="M85" i="6"/>
  <c r="N85" i="6" s="1"/>
  <c r="L87" i="6"/>
  <c r="M87" i="6"/>
  <c r="N87" i="6"/>
  <c r="O87" i="6" s="1"/>
  <c r="L88" i="6"/>
  <c r="M88" i="6"/>
  <c r="N88" i="6"/>
  <c r="L89" i="6"/>
  <c r="M89" i="6"/>
  <c r="N89" i="6" s="1"/>
  <c r="F82" i="6"/>
  <c r="F83" i="6"/>
  <c r="F84" i="6"/>
  <c r="F85" i="6"/>
  <c r="F86" i="6"/>
  <c r="F87" i="6"/>
  <c r="F88" i="6"/>
  <c r="F89" i="6"/>
  <c r="F90" i="6"/>
  <c r="F91" i="6"/>
  <c r="F92" i="6"/>
  <c r="F93" i="6"/>
  <c r="F94" i="6"/>
  <c r="F95" i="6"/>
  <c r="F96" i="6"/>
  <c r="F97" i="6"/>
  <c r="F98" i="6"/>
  <c r="F81" i="6"/>
  <c r="E116" i="6"/>
  <c r="E117" i="6"/>
  <c r="E118" i="6"/>
  <c r="E119" i="6"/>
  <c r="E120" i="6"/>
  <c r="E121" i="6"/>
  <c r="F116" i="6"/>
  <c r="F117" i="6"/>
  <c r="F118" i="6"/>
  <c r="F119" i="6"/>
  <c r="F120" i="6"/>
  <c r="F121" i="6"/>
  <c r="E46" i="13"/>
  <c r="E45" i="13"/>
  <c r="F45" i="13"/>
  <c r="F39" i="12"/>
  <c r="E42" i="12"/>
  <c r="F41" i="12"/>
  <c r="E41" i="12"/>
  <c r="G82" i="8"/>
  <c r="E123" i="6"/>
  <c r="E131" i="6"/>
  <c r="E130" i="6"/>
  <c r="F122" i="6"/>
  <c r="E122" i="6"/>
  <c r="F115" i="6"/>
  <c r="E115" i="6"/>
  <c r="F114" i="6"/>
  <c r="E114" i="6"/>
  <c r="F113" i="6"/>
  <c r="E113" i="6"/>
  <c r="F112" i="6"/>
  <c r="E112" i="6"/>
  <c r="F111" i="6"/>
  <c r="E111" i="6"/>
  <c r="F110" i="6"/>
  <c r="E110" i="6"/>
  <c r="F109" i="6"/>
  <c r="E109" i="6"/>
  <c r="F108" i="6"/>
  <c r="E108" i="6"/>
  <c r="F107" i="6"/>
  <c r="E107" i="6"/>
  <c r="F106" i="6"/>
  <c r="E106" i="6"/>
  <c r="F105" i="6"/>
  <c r="E105" i="6"/>
  <c r="E104" i="6"/>
  <c r="E128" i="6"/>
  <c r="F104" i="6"/>
  <c r="F130" i="6"/>
  <c r="E29" i="15"/>
  <c r="E26" i="15"/>
  <c r="E27" i="15"/>
  <c r="E20" i="15"/>
  <c r="E19" i="15"/>
  <c r="E13" i="15"/>
  <c r="C13" i="15"/>
  <c r="E12" i="15"/>
  <c r="R10" i="15"/>
  <c r="Q10" i="15"/>
  <c r="P10" i="15"/>
  <c r="K10" i="15"/>
  <c r="F8" i="15"/>
  <c r="F13" i="15" s="1"/>
  <c r="F27" i="15" s="1"/>
  <c r="F29" i="15" s="1"/>
  <c r="E29" i="13"/>
  <c r="E26" i="13"/>
  <c r="E27" i="13"/>
  <c r="L24" i="13"/>
  <c r="E20" i="13"/>
  <c r="C20" i="13"/>
  <c r="E19" i="13"/>
  <c r="L17" i="13"/>
  <c r="E13" i="13"/>
  <c r="C13" i="13"/>
  <c r="E12" i="13"/>
  <c r="L10" i="13"/>
  <c r="F8" i="13"/>
  <c r="E29" i="12"/>
  <c r="E26" i="12"/>
  <c r="E27" i="12"/>
  <c r="N24" i="12"/>
  <c r="E20" i="12"/>
  <c r="C20" i="12"/>
  <c r="E19" i="12"/>
  <c r="N17" i="12"/>
  <c r="M17" i="12"/>
  <c r="E13" i="12"/>
  <c r="C13" i="12"/>
  <c r="E12" i="12"/>
  <c r="Q10" i="12"/>
  <c r="P10" i="12"/>
  <c r="O10" i="12"/>
  <c r="N10" i="12"/>
  <c r="L10" i="12"/>
  <c r="F8" i="12"/>
  <c r="F20" i="12" s="1"/>
  <c r="F26" i="12" s="1"/>
  <c r="F8" i="11"/>
  <c r="F14" i="11" s="1"/>
  <c r="S4" i="11"/>
  <c r="S11" i="11" s="1"/>
  <c r="R4" i="11"/>
  <c r="R11" i="11" s="1"/>
  <c r="Q4" i="11"/>
  <c r="Q11" i="11" s="1"/>
  <c r="P4" i="11"/>
  <c r="P11" i="11" s="1"/>
  <c r="O4" i="11"/>
  <c r="O11" i="11" s="1"/>
  <c r="N4" i="11"/>
  <c r="N11" i="11" s="1"/>
  <c r="M4" i="11"/>
  <c r="M11" i="11" s="1"/>
  <c r="L4" i="11"/>
  <c r="L11" i="11" s="1"/>
  <c r="K4" i="11"/>
  <c r="K11" i="11" s="1"/>
  <c r="J4" i="11"/>
  <c r="J11" i="11" s="1"/>
  <c r="E16" i="11"/>
  <c r="E15" i="11"/>
  <c r="E18" i="11"/>
  <c r="E14" i="11"/>
  <c r="E13" i="11"/>
  <c r="C20" i="6"/>
  <c r="E27" i="6"/>
  <c r="G84" i="8"/>
  <c r="G83" i="8"/>
  <c r="H76" i="8"/>
  <c r="H75" i="8"/>
  <c r="H74" i="8"/>
  <c r="H73" i="8"/>
  <c r="H72" i="8"/>
  <c r="H71" i="8"/>
  <c r="H70" i="8"/>
  <c r="H69" i="8"/>
  <c r="H68" i="8"/>
  <c r="G76" i="8"/>
  <c r="G75" i="8"/>
  <c r="G74" i="8"/>
  <c r="G73" i="8"/>
  <c r="G72" i="8"/>
  <c r="G71" i="8"/>
  <c r="G70" i="8"/>
  <c r="G69" i="8"/>
  <c r="G68" i="8"/>
  <c r="G67" i="8"/>
  <c r="H67" i="8"/>
  <c r="H42" i="8"/>
  <c r="H43" i="8"/>
  <c r="H44" i="8"/>
  <c r="H45" i="8"/>
  <c r="H46" i="8"/>
  <c r="H47" i="8"/>
  <c r="H48" i="8"/>
  <c r="H49" i="8"/>
  <c r="H50" i="8"/>
  <c r="H51" i="8"/>
  <c r="H52" i="8"/>
  <c r="H53" i="8"/>
  <c r="H54" i="8"/>
  <c r="H55" i="8"/>
  <c r="H56" i="8"/>
  <c r="H57" i="8"/>
  <c r="H58" i="8"/>
  <c r="H59" i="8"/>
  <c r="H60" i="8"/>
  <c r="H41" i="8"/>
  <c r="C64" i="8"/>
  <c r="I60" i="8"/>
  <c r="I59" i="8"/>
  <c r="I58" i="8"/>
  <c r="I57" i="8"/>
  <c r="I56" i="8"/>
  <c r="I55" i="8"/>
  <c r="I54" i="8"/>
  <c r="I53" i="8"/>
  <c r="I52" i="8"/>
  <c r="I51" i="8"/>
  <c r="I50" i="8"/>
  <c r="I49" i="8"/>
  <c r="I48" i="8"/>
  <c r="I47" i="8"/>
  <c r="I46" i="8"/>
  <c r="I45" i="8"/>
  <c r="I44" i="8"/>
  <c r="I43" i="8"/>
  <c r="I42" i="8"/>
  <c r="I41" i="8"/>
  <c r="C40" i="8"/>
  <c r="C24" i="8"/>
  <c r="C9" i="8"/>
  <c r="F8" i="6"/>
  <c r="F20" i="6" s="1"/>
  <c r="F26" i="6" s="1"/>
  <c r="N24" i="6"/>
  <c r="M24" i="6"/>
  <c r="L24" i="6"/>
  <c r="J24" i="6"/>
  <c r="N17" i="6"/>
  <c r="M17" i="6"/>
  <c r="L17" i="6"/>
  <c r="E26" i="6"/>
  <c r="E20" i="6"/>
  <c r="E19" i="6"/>
  <c r="E13" i="6"/>
  <c r="E12" i="6"/>
  <c r="E29" i="6"/>
  <c r="C13" i="6"/>
  <c r="O10" i="6"/>
  <c r="L10" i="6"/>
  <c r="J10" i="6"/>
  <c r="T4" i="4"/>
  <c r="T10" i="4" s="1"/>
  <c r="S4" i="4"/>
  <c r="S10" i="4" s="1"/>
  <c r="R4" i="4"/>
  <c r="R10" i="4" s="1"/>
  <c r="Q4" i="4"/>
  <c r="Q10" i="4" s="1"/>
  <c r="P4" i="4"/>
  <c r="P10" i="4" s="1"/>
  <c r="O4" i="4"/>
  <c r="O10" i="4" s="1"/>
  <c r="N4" i="4"/>
  <c r="N14" i="4" s="1"/>
  <c r="M4" i="4"/>
  <c r="M29" i="4" s="1"/>
  <c r="L4" i="4"/>
  <c r="L14" i="4" s="1"/>
  <c r="K4" i="4"/>
  <c r="K10" i="4" s="1"/>
  <c r="J4" i="4"/>
  <c r="J10" i="4" s="1"/>
  <c r="K10" i="6"/>
  <c r="F13" i="13"/>
  <c r="F27" i="13" s="1"/>
  <c r="F29" i="13" s="1"/>
  <c r="F20" i="13"/>
  <c r="F26" i="13" s="1"/>
  <c r="F46" i="13"/>
  <c r="R39" i="12"/>
  <c r="R41" i="12" s="1"/>
  <c r="O39" i="12"/>
  <c r="O41" i="12" s="1"/>
  <c r="O10" i="17" l="1"/>
  <c r="K17" i="6"/>
  <c r="M10" i="12"/>
  <c r="Q10" i="17"/>
  <c r="Q17" i="12"/>
  <c r="Q10" i="6"/>
  <c r="S10" i="12"/>
  <c r="Q33" i="12"/>
  <c r="S10" i="15"/>
  <c r="F20" i="15"/>
  <c r="F26" i="15" s="1"/>
  <c r="S14" i="4"/>
  <c r="N17" i="17"/>
  <c r="P29" i="4"/>
  <c r="N24" i="17"/>
  <c r="K17" i="13"/>
  <c r="R29" i="4"/>
  <c r="J29" i="4"/>
  <c r="O14" i="4"/>
  <c r="K24" i="13"/>
  <c r="O29" i="4"/>
  <c r="M10" i="6"/>
  <c r="M17" i="13"/>
  <c r="M10" i="13"/>
  <c r="S10" i="17"/>
  <c r="S10" i="6"/>
  <c r="K17" i="15"/>
  <c r="Q10" i="13"/>
  <c r="R10" i="13"/>
  <c r="J10" i="13"/>
  <c r="O10" i="13"/>
  <c r="J24" i="13"/>
  <c r="S29" i="4"/>
  <c r="P10" i="17"/>
  <c r="Q29" i="4"/>
  <c r="Q14" i="4"/>
  <c r="L17" i="12"/>
  <c r="O41" i="17"/>
  <c r="P10" i="13"/>
  <c r="K24" i="12"/>
  <c r="O10" i="15"/>
  <c r="J17" i="17"/>
  <c r="O17" i="12"/>
  <c r="P17" i="12"/>
  <c r="J10" i="12"/>
  <c r="J17" i="12"/>
  <c r="S10" i="13"/>
  <c r="J10" i="17"/>
  <c r="M33" i="6"/>
  <c r="P41" i="17"/>
  <c r="K10" i="12"/>
  <c r="L33" i="6"/>
  <c r="Q41" i="17"/>
  <c r="O103" i="6"/>
  <c r="F20" i="17"/>
  <c r="F26" i="17" s="1"/>
  <c r="S24" i="13"/>
  <c r="R14" i="4"/>
  <c r="L24" i="17"/>
  <c r="M24" i="17"/>
  <c r="K24" i="17"/>
  <c r="K17" i="17"/>
  <c r="L17" i="17"/>
  <c r="M17" i="17"/>
  <c r="M37" i="17"/>
  <c r="M42" i="17" s="1"/>
  <c r="S33" i="6"/>
  <c r="O39" i="13"/>
  <c r="P45" i="13" s="1"/>
  <c r="F13" i="17"/>
  <c r="F27" i="17" s="1"/>
  <c r="F29" i="17" s="1"/>
  <c r="M10" i="4"/>
  <c r="S80" i="6"/>
  <c r="F42" i="12"/>
  <c r="P14" i="4"/>
  <c r="O33" i="12"/>
  <c r="N103" i="6"/>
  <c r="P33" i="12"/>
  <c r="O17" i="17"/>
  <c r="L10" i="4"/>
  <c r="L29" i="4"/>
  <c r="M14" i="4"/>
  <c r="Q127" i="6"/>
  <c r="Q17" i="17"/>
  <c r="C16" i="4" a="1"/>
  <c r="C27" i="4" s="1"/>
  <c r="F13" i="12"/>
  <c r="F27" i="12" s="1"/>
  <c r="F29" i="12" s="1"/>
  <c r="S33" i="12"/>
  <c r="S127" i="6"/>
  <c r="S17" i="17"/>
  <c r="T14" i="4"/>
  <c r="Q17" i="6"/>
  <c r="O17" i="13"/>
  <c r="S17" i="6"/>
  <c r="P24" i="15"/>
  <c r="N10" i="4"/>
  <c r="O24" i="6"/>
  <c r="R24" i="15"/>
  <c r="Q33" i="6"/>
  <c r="S24" i="15"/>
  <c r="M41" i="17"/>
  <c r="F13" i="6"/>
  <c r="F27" i="6" s="1"/>
  <c r="F29" i="6" s="1"/>
  <c r="F131" i="6"/>
  <c r="J24" i="15"/>
  <c r="R17" i="6"/>
  <c r="R33" i="6"/>
  <c r="M103" i="6"/>
  <c r="R127" i="6"/>
  <c r="O41" i="13"/>
  <c r="Q24" i="15"/>
  <c r="P17" i="17"/>
  <c r="N41" i="17"/>
  <c r="L24" i="15"/>
  <c r="Q41" i="13"/>
  <c r="R17" i="17"/>
  <c r="P41" i="13"/>
  <c r="M24" i="15"/>
  <c r="P24" i="6"/>
  <c r="P103" i="6"/>
  <c r="P17" i="13"/>
  <c r="R41" i="13"/>
  <c r="F18" i="11"/>
  <c r="J10" i="15"/>
  <c r="N24" i="15"/>
  <c r="R17" i="12"/>
  <c r="O38" i="12"/>
  <c r="Q24" i="6"/>
  <c r="Q103" i="6"/>
  <c r="Q17" i="13"/>
  <c r="S41" i="13"/>
  <c r="O24" i="17"/>
  <c r="M33" i="17"/>
  <c r="R41" i="17"/>
  <c r="F17" i="11"/>
  <c r="K14" i="4"/>
  <c r="I29" i="4"/>
  <c r="S17" i="12"/>
  <c r="P38" i="12"/>
  <c r="R24" i="6"/>
  <c r="M80" i="6"/>
  <c r="R103" i="6"/>
  <c r="R17" i="13"/>
  <c r="O44" i="13"/>
  <c r="O17" i="15"/>
  <c r="P24" i="17"/>
  <c r="N33" i="17"/>
  <c r="S41" i="17"/>
  <c r="N24" i="13"/>
  <c r="L10" i="15"/>
  <c r="I14" i="4"/>
  <c r="C31" i="4" a="1"/>
  <c r="Q38" i="12"/>
  <c r="S24" i="6"/>
  <c r="N80" i="6"/>
  <c r="S17" i="13"/>
  <c r="P44" i="13"/>
  <c r="Q24" i="17"/>
  <c r="F16" i="11"/>
  <c r="R33" i="12"/>
  <c r="F13" i="11"/>
  <c r="R10" i="12"/>
  <c r="M10" i="15"/>
  <c r="R10" i="17"/>
  <c r="R38" i="12"/>
  <c r="N10" i="6"/>
  <c r="O80" i="6"/>
  <c r="Q44" i="13"/>
  <c r="R24" i="17"/>
  <c r="F15" i="11"/>
  <c r="P10" i="6"/>
  <c r="R10" i="6"/>
  <c r="N10" i="15"/>
  <c r="S38" i="12"/>
  <c r="O33" i="6"/>
  <c r="P80" i="6"/>
  <c r="N127" i="6"/>
  <c r="R44" i="13"/>
  <c r="S24" i="17"/>
  <c r="J14" i="4"/>
  <c r="K29" i="4"/>
  <c r="T29" i="4"/>
  <c r="N29" i="4"/>
  <c r="N10" i="13"/>
  <c r="O17" i="6"/>
  <c r="P17" i="6"/>
  <c r="P33" i="6"/>
  <c r="P87" i="6"/>
  <c r="O85" i="6"/>
  <c r="O89" i="6"/>
  <c r="O88" i="6"/>
  <c r="I36" i="26"/>
  <c r="I69" i="26"/>
  <c r="I58" i="26"/>
  <c r="I27" i="26"/>
  <c r="I34" i="26"/>
  <c r="I59" i="26"/>
  <c r="I45" i="26"/>
  <c r="I41" i="26"/>
  <c r="I62" i="26"/>
  <c r="I52" i="26"/>
  <c r="I25" i="26"/>
  <c r="I29" i="26"/>
  <c r="I40" i="26"/>
  <c r="I31" i="26"/>
  <c r="I28" i="26"/>
  <c r="I38" i="26"/>
  <c r="I46" i="26"/>
  <c r="I67" i="26"/>
  <c r="I35" i="26"/>
  <c r="I61" i="26"/>
  <c r="I50" i="26"/>
  <c r="I51" i="26"/>
  <c r="I49" i="26"/>
  <c r="I55" i="26"/>
  <c r="I53" i="26"/>
  <c r="I26" i="26"/>
  <c r="I42" i="26"/>
  <c r="I60" i="26"/>
  <c r="I37" i="26"/>
  <c r="I30" i="26"/>
  <c r="I32" i="26"/>
  <c r="I63" i="26"/>
  <c r="I64" i="26"/>
  <c r="I33" i="26"/>
  <c r="I39" i="26"/>
  <c r="I71" i="26"/>
  <c r="I70" i="26"/>
  <c r="I57" i="26"/>
  <c r="I68" i="26"/>
  <c r="I47" i="26"/>
  <c r="I44" i="26"/>
  <c r="I56" i="26"/>
  <c r="I54" i="26"/>
  <c r="I66" i="26"/>
  <c r="I43" i="26"/>
  <c r="I48" i="26"/>
  <c r="I65" i="26"/>
  <c r="M12" i="17" l="1"/>
  <c r="Q19" i="12"/>
  <c r="R45" i="13"/>
  <c r="S45" i="13"/>
  <c r="Q45" i="13"/>
  <c r="Q19" i="17"/>
  <c r="P19" i="12"/>
  <c r="O45" i="13"/>
  <c r="R19" i="17"/>
  <c r="O19" i="12"/>
  <c r="C26" i="4"/>
  <c r="D26" i="4" s="1"/>
  <c r="C17" i="4"/>
  <c r="J17" i="4" s="1"/>
  <c r="S19" i="12"/>
  <c r="C16" i="4"/>
  <c r="C19" i="4"/>
  <c r="D19" i="4" s="1"/>
  <c r="C21" i="4"/>
  <c r="D21" i="4" s="1"/>
  <c r="C20" i="4"/>
  <c r="M20" i="4" s="1"/>
  <c r="S19" i="17"/>
  <c r="C22" i="4"/>
  <c r="E22" i="4" s="1"/>
  <c r="C23" i="4"/>
  <c r="D23" i="4" s="1"/>
  <c r="C18" i="4"/>
  <c r="D18" i="4" s="1"/>
  <c r="P19" i="17"/>
  <c r="C24" i="4"/>
  <c r="Q24" i="4" s="1"/>
  <c r="R19" i="12"/>
  <c r="C25" i="4"/>
  <c r="R25" i="4" s="1"/>
  <c r="C36" i="4"/>
  <c r="C35" i="4"/>
  <c r="C34" i="4"/>
  <c r="C33" i="4"/>
  <c r="C32" i="4"/>
  <c r="C31" i="4"/>
  <c r="C42" i="4"/>
  <c r="C39" i="4"/>
  <c r="C41" i="4"/>
  <c r="C40" i="4"/>
  <c r="C37" i="4"/>
  <c r="C38" i="4"/>
  <c r="O19" i="17"/>
  <c r="D27" i="4"/>
  <c r="E27" i="4"/>
  <c r="T27" i="4"/>
  <c r="Q87" i="6"/>
  <c r="P89" i="6"/>
  <c r="P85" i="6"/>
  <c r="M128" i="6"/>
  <c r="M130" i="6" s="1"/>
  <c r="M12" i="6" s="1"/>
  <c r="P88" i="6"/>
  <c r="J12" i="4"/>
  <c r="M12" i="4"/>
  <c r="K12" i="4"/>
  <c r="I12" i="4"/>
  <c r="L12" i="4"/>
  <c r="K18" i="4" l="1"/>
  <c r="E18" i="4"/>
  <c r="N21" i="4"/>
  <c r="E21" i="4"/>
  <c r="E20" i="4"/>
  <c r="I16" i="4"/>
  <c r="I31" i="4" s="1"/>
  <c r="Q20" i="31"/>
  <c r="Q26" i="31" s="1"/>
  <c r="O20" i="31"/>
  <c r="O26" i="31" s="1"/>
  <c r="D22" i="4"/>
  <c r="D20" i="4"/>
  <c r="D25" i="4"/>
  <c r="D16" i="4"/>
  <c r="E25" i="4"/>
  <c r="E26" i="4"/>
  <c r="E16" i="4"/>
  <c r="O22" i="4"/>
  <c r="Q20" i="15" s="1"/>
  <c r="Q26" i="15" s="1"/>
  <c r="P23" i="4"/>
  <c r="E17" i="4"/>
  <c r="D17" i="4"/>
  <c r="S26" i="4"/>
  <c r="E23" i="4"/>
  <c r="L19" i="4"/>
  <c r="M19" i="4" s="1"/>
  <c r="M34" i="4" s="1"/>
  <c r="E19" i="4"/>
  <c r="D24" i="4"/>
  <c r="E24" i="4"/>
  <c r="E37" i="4"/>
  <c r="D37" i="4"/>
  <c r="D40" i="4"/>
  <c r="E40" i="4"/>
  <c r="E39" i="4"/>
  <c r="D39" i="4"/>
  <c r="D32" i="4"/>
  <c r="E32" i="4"/>
  <c r="D33" i="4"/>
  <c r="E33" i="4"/>
  <c r="D31" i="4"/>
  <c r="E31" i="4"/>
  <c r="E34" i="4"/>
  <c r="D34" i="4"/>
  <c r="E41" i="4"/>
  <c r="D41" i="4"/>
  <c r="M13" i="13"/>
  <c r="E35" i="4"/>
  <c r="D35" i="4"/>
  <c r="E42" i="4"/>
  <c r="D42" i="4"/>
  <c r="E36" i="4"/>
  <c r="D36" i="4"/>
  <c r="E38" i="4"/>
  <c r="D38" i="4"/>
  <c r="N128" i="6"/>
  <c r="N130" i="6" s="1"/>
  <c r="Q88" i="6"/>
  <c r="Q85" i="6"/>
  <c r="Q89" i="6"/>
  <c r="R87" i="6"/>
  <c r="K33" i="4"/>
  <c r="L20" i="4"/>
  <c r="L35" i="4" s="1"/>
  <c r="I17" i="4"/>
  <c r="I32" i="4" s="1"/>
  <c r="J32" i="4"/>
  <c r="K17" i="4"/>
  <c r="K32" i="4" s="1"/>
  <c r="M35" i="4"/>
  <c r="J18" i="4"/>
  <c r="J33" i="4" s="1"/>
  <c r="L18" i="4"/>
  <c r="R20" i="31" l="1"/>
  <c r="R26" i="31" s="1"/>
  <c r="P20" i="15"/>
  <c r="P26" i="15" s="1"/>
  <c r="O46" i="13"/>
  <c r="O19" i="13" s="1"/>
  <c r="O20" i="13" s="1"/>
  <c r="O26" i="13" s="1"/>
  <c r="P20" i="31"/>
  <c r="P26" i="31" s="1"/>
  <c r="S20" i="31"/>
  <c r="S26" i="31" s="1"/>
  <c r="R20" i="15"/>
  <c r="R26" i="15" s="1"/>
  <c r="J16" i="4"/>
  <c r="J31" i="4" s="1"/>
  <c r="M13" i="30"/>
  <c r="P27" i="30" s="1"/>
  <c r="S46" i="13"/>
  <c r="S19" i="13" s="1"/>
  <c r="S20" i="13" s="1"/>
  <c r="S26" i="13" s="1"/>
  <c r="L34" i="4"/>
  <c r="K19" i="4"/>
  <c r="K34" i="4" s="1"/>
  <c r="R46" i="13"/>
  <c r="R19" i="13" s="1"/>
  <c r="R20" i="13" s="1"/>
  <c r="R26" i="13" s="1"/>
  <c r="Q46" i="13"/>
  <c r="Q19" i="13" s="1"/>
  <c r="Q20" i="13" s="1"/>
  <c r="Q26" i="13" s="1"/>
  <c r="O20" i="15"/>
  <c r="O26" i="15" s="1"/>
  <c r="P46" i="13"/>
  <c r="P19" i="13" s="1"/>
  <c r="P20" i="13" s="1"/>
  <c r="P26" i="13" s="1"/>
  <c r="S20" i="15"/>
  <c r="S26" i="15" s="1"/>
  <c r="K20" i="4"/>
  <c r="J20" i="4" s="1"/>
  <c r="R27" i="13"/>
  <c r="Q27" i="13"/>
  <c r="P27" i="13"/>
  <c r="O27" i="13"/>
  <c r="O29" i="13" s="1"/>
  <c r="S27" i="13"/>
  <c r="O128" i="6"/>
  <c r="O130" i="6" s="1"/>
  <c r="O19" i="6" s="1"/>
  <c r="R89" i="6"/>
  <c r="S87" i="6"/>
  <c r="R85" i="6"/>
  <c r="R88" i="6"/>
  <c r="L17" i="4"/>
  <c r="L32" i="4" s="1"/>
  <c r="I18" i="4"/>
  <c r="I33" i="4" s="1"/>
  <c r="L33" i="4"/>
  <c r="M18" i="4"/>
  <c r="K16" i="4" l="1"/>
  <c r="L16" i="4" s="1"/>
  <c r="L31" i="4" s="1"/>
  <c r="O15" i="11"/>
  <c r="S29" i="13"/>
  <c r="Q27" i="30"/>
  <c r="R27" i="30"/>
  <c r="S27" i="30"/>
  <c r="O27" i="30"/>
  <c r="J19" i="4"/>
  <c r="J34" i="4" s="1"/>
  <c r="Q29" i="13"/>
  <c r="K35" i="4"/>
  <c r="M16" i="4"/>
  <c r="M31" i="4" s="1"/>
  <c r="P29" i="13"/>
  <c r="R29" i="13"/>
  <c r="K31" i="4"/>
  <c r="P128" i="6"/>
  <c r="P130" i="6" s="1"/>
  <c r="P19" i="6" s="1"/>
  <c r="S85" i="6"/>
  <c r="S89" i="6"/>
  <c r="S88" i="6"/>
  <c r="Q128" i="6"/>
  <c r="Q130" i="6" s="1"/>
  <c r="Q19" i="6" s="1"/>
  <c r="M17" i="4"/>
  <c r="M32" i="4" s="1"/>
  <c r="J35" i="4"/>
  <c r="I20" i="4"/>
  <c r="I35" i="4" s="1"/>
  <c r="M33" i="4"/>
  <c r="R15" i="11" l="1"/>
  <c r="P15" i="11"/>
  <c r="Q15" i="11"/>
  <c r="S15" i="11"/>
  <c r="I19" i="4"/>
  <c r="I34" i="4" s="1"/>
  <c r="S128" i="6"/>
  <c r="S130" i="6" s="1"/>
  <c r="S19" i="6" s="1"/>
  <c r="R128" i="6"/>
  <c r="R130" i="6" s="1"/>
  <c r="R19" i="6" s="1"/>
  <c r="G88" i="26" l="1"/>
  <c r="G97" i="26"/>
  <c r="G94" i="26"/>
  <c r="G90" i="26"/>
  <c r="G96" i="26"/>
  <c r="G85" i="26"/>
  <c r="G89" i="26"/>
  <c r="G95" i="26"/>
  <c r="G93" i="26"/>
  <c r="G98" i="26"/>
  <c r="G87" i="26"/>
  <c r="G86" i="26"/>
  <c r="G84" i="26"/>
  <c r="G91" i="26"/>
  <c r="G83" i="26"/>
  <c r="G92" i="26"/>
  <c r="H72" i="26" l="1"/>
  <c r="I72" i="26" s="1"/>
  <c r="H74" i="26"/>
  <c r="I74" i="26" s="1"/>
  <c r="H73" i="26" l="1"/>
  <c r="I73" i="26" s="1"/>
  <c r="N12" i="4"/>
  <c r="N36" i="4" l="1"/>
  <c r="N17" i="4"/>
  <c r="N16" i="4"/>
  <c r="N19" i="4"/>
  <c r="N20" i="4"/>
  <c r="N35" i="4" s="1"/>
  <c r="M21" i="4"/>
  <c r="N18" i="4"/>
  <c r="N33" i="4" l="1"/>
  <c r="N34" i="4"/>
  <c r="N31" i="4"/>
  <c r="N32" i="4"/>
  <c r="L21" i="4"/>
  <c r="M36" i="4"/>
  <c r="L36" i="4" l="1"/>
  <c r="K21" i="4"/>
  <c r="K36" i="4" l="1"/>
  <c r="J21" i="4"/>
  <c r="J36" i="4" l="1"/>
  <c r="I21" i="4"/>
  <c r="I36" i="4" s="1"/>
  <c r="H78" i="26" l="1"/>
  <c r="H76" i="26" l="1"/>
  <c r="H75" i="26" s="1"/>
  <c r="I75" i="26" s="1"/>
  <c r="I78" i="26"/>
  <c r="H82" i="26"/>
  <c r="H77" i="26" l="1"/>
  <c r="I77" i="26" s="1"/>
  <c r="I76" i="26"/>
  <c r="H80" i="26"/>
  <c r="I82" i="26"/>
  <c r="P12" i="4" s="1"/>
  <c r="H86" i="26"/>
  <c r="O12" i="4"/>
  <c r="V1" i="26" l="1"/>
  <c r="O16" i="4"/>
  <c r="O17" i="4"/>
  <c r="O18" i="4"/>
  <c r="O20" i="4"/>
  <c r="O19" i="4"/>
  <c r="O37" i="4"/>
  <c r="N22" i="4"/>
  <c r="O21" i="4"/>
  <c r="I80" i="26"/>
  <c r="H81" i="26"/>
  <c r="H84" i="26"/>
  <c r="H79" i="26"/>
  <c r="I86" i="26"/>
  <c r="Q12" i="4" s="1"/>
  <c r="H90" i="26"/>
  <c r="P38" i="4"/>
  <c r="O23" i="4"/>
  <c r="P22" i="4"/>
  <c r="P19" i="4" l="1"/>
  <c r="O34" i="4"/>
  <c r="O51" i="30"/>
  <c r="O19" i="30" s="1"/>
  <c r="O20" i="30" s="1"/>
  <c r="O26" i="30" s="1"/>
  <c r="O29" i="30" s="1"/>
  <c r="O17" i="11" s="1"/>
  <c r="S42" i="12"/>
  <c r="S51" i="30"/>
  <c r="S19" i="30" s="1"/>
  <c r="S20" i="30" s="1"/>
  <c r="S26" i="30" s="1"/>
  <c r="S29" i="30" s="1"/>
  <c r="S17" i="11" s="1"/>
  <c r="Q20" i="12"/>
  <c r="Q26" i="12" s="1"/>
  <c r="O20" i="12"/>
  <c r="O26" i="12" s="1"/>
  <c r="O35" i="4"/>
  <c r="Q51" i="30"/>
  <c r="Q19" i="30" s="1"/>
  <c r="Q20" i="30" s="1"/>
  <c r="Q26" i="30" s="1"/>
  <c r="Q29" i="30" s="1"/>
  <c r="Q17" i="11" s="1"/>
  <c r="O42" i="12"/>
  <c r="R42" i="12"/>
  <c r="P20" i="12"/>
  <c r="P26" i="12" s="1"/>
  <c r="P20" i="4"/>
  <c r="P42" i="12"/>
  <c r="M13" i="12"/>
  <c r="Q42" i="12"/>
  <c r="S20" i="12"/>
  <c r="S26" i="12" s="1"/>
  <c r="R51" i="30"/>
  <c r="R19" i="30" s="1"/>
  <c r="R20" i="30" s="1"/>
  <c r="R26" i="30" s="1"/>
  <c r="R29" i="30" s="1"/>
  <c r="R17" i="11" s="1"/>
  <c r="P51" i="30"/>
  <c r="P19" i="30" s="1"/>
  <c r="P20" i="30" s="1"/>
  <c r="P26" i="30" s="1"/>
  <c r="P29" i="30" s="1"/>
  <c r="P17" i="11" s="1"/>
  <c r="R20" i="12"/>
  <c r="R26" i="12" s="1"/>
  <c r="O33" i="4"/>
  <c r="P18" i="4"/>
  <c r="P17" i="4"/>
  <c r="O32" i="4"/>
  <c r="P37" i="4"/>
  <c r="Q22" i="4"/>
  <c r="H83" i="26"/>
  <c r="I79" i="26"/>
  <c r="O31" i="4"/>
  <c r="P16" i="4"/>
  <c r="N23" i="4"/>
  <c r="O38" i="4"/>
  <c r="I84" i="26"/>
  <c r="H88" i="26"/>
  <c r="I81" i="26"/>
  <c r="H85" i="26"/>
  <c r="O36" i="4"/>
  <c r="P21" i="4"/>
  <c r="I90" i="26"/>
  <c r="R12" i="4" s="1"/>
  <c r="H94" i="26"/>
  <c r="M22" i="4"/>
  <c r="N37" i="4"/>
  <c r="Q39" i="4"/>
  <c r="Q23" i="4"/>
  <c r="P24" i="4"/>
  <c r="N43" i="17"/>
  <c r="N131" i="6"/>
  <c r="Q20" i="4" l="1"/>
  <c r="P35" i="4"/>
  <c r="P31" i="4"/>
  <c r="Q16" i="4"/>
  <c r="Q19" i="4"/>
  <c r="P34" i="4"/>
  <c r="Q21" i="4"/>
  <c r="P36" i="4"/>
  <c r="H87" i="26"/>
  <c r="I83" i="26"/>
  <c r="P39" i="4"/>
  <c r="O24" i="4"/>
  <c r="I94" i="26"/>
  <c r="S12" i="4" s="1"/>
  <c r="H98" i="26"/>
  <c r="I98" i="26" s="1"/>
  <c r="T12" i="4" s="1"/>
  <c r="R23" i="4"/>
  <c r="Q38" i="4"/>
  <c r="M154" i="28"/>
  <c r="M43" i="17"/>
  <c r="M13" i="31"/>
  <c r="M131" i="6"/>
  <c r="M150" i="28"/>
  <c r="M13" i="15"/>
  <c r="M158" i="28"/>
  <c r="M13" i="6"/>
  <c r="M13" i="17"/>
  <c r="R40" i="4"/>
  <c r="R24" i="4"/>
  <c r="Q25" i="4"/>
  <c r="L22" i="4"/>
  <c r="M37" i="4"/>
  <c r="Q18" i="4"/>
  <c r="P33" i="4"/>
  <c r="H89" i="26"/>
  <c r="I85" i="26"/>
  <c r="H92" i="26"/>
  <c r="I88" i="26"/>
  <c r="M23" i="4"/>
  <c r="N38" i="4"/>
  <c r="R22" i="4"/>
  <c r="Q37" i="4"/>
  <c r="P32" i="4"/>
  <c r="Q17" i="4"/>
  <c r="O27" i="12"/>
  <c r="O29" i="12" s="1"/>
  <c r="O13" i="11" s="1"/>
  <c r="Q27" i="12"/>
  <c r="Q29" i="12" s="1"/>
  <c r="Q13" i="11" s="1"/>
  <c r="S27" i="12"/>
  <c r="S29" i="12" s="1"/>
  <c r="S13" i="11" s="1"/>
  <c r="R27" i="12"/>
  <c r="R29" i="12" s="1"/>
  <c r="R13" i="11" s="1"/>
  <c r="P27" i="12"/>
  <c r="P29" i="12" s="1"/>
  <c r="P13" i="11" s="1"/>
  <c r="O20" i="17"/>
  <c r="O26" i="17" s="1"/>
  <c r="O131" i="6"/>
  <c r="O43" i="17"/>
  <c r="O20" i="6"/>
  <c r="O26" i="6" s="1"/>
  <c r="R39" i="4" l="1"/>
  <c r="S24" i="4"/>
  <c r="O39" i="4"/>
  <c r="N24" i="4"/>
  <c r="R20" i="4"/>
  <c r="Q35" i="4"/>
  <c r="Q34" i="4"/>
  <c r="R19" i="4"/>
  <c r="R18" i="4"/>
  <c r="Q33" i="4"/>
  <c r="Q27" i="17"/>
  <c r="S27" i="17"/>
  <c r="R27" i="17"/>
  <c r="O27" i="17"/>
  <c r="O29" i="17" s="1"/>
  <c r="O18" i="11" s="1"/>
  <c r="P27" i="17"/>
  <c r="H93" i="26"/>
  <c r="I89" i="26"/>
  <c r="O27" i="6"/>
  <c r="O29" i="6" s="1"/>
  <c r="O14" i="11" s="1"/>
  <c r="R27" i="6"/>
  <c r="Q27" i="6"/>
  <c r="S27" i="6"/>
  <c r="P27" i="6"/>
  <c r="T26" i="4"/>
  <c r="T41" i="4" s="1"/>
  <c r="S27" i="4"/>
  <c r="T42" i="4"/>
  <c r="R21" i="4"/>
  <c r="Q36" i="4"/>
  <c r="S25" i="4"/>
  <c r="S41" i="4"/>
  <c r="R26" i="4"/>
  <c r="O27" i="15"/>
  <c r="O29" i="15" s="1"/>
  <c r="O13" i="32" s="1"/>
  <c r="Q27" i="15"/>
  <c r="Q29" i="15" s="1"/>
  <c r="Q13" i="32" s="1"/>
  <c r="R27" i="15"/>
  <c r="R29" i="15" s="1"/>
  <c r="R13" i="32" s="1"/>
  <c r="P27" i="15"/>
  <c r="P29" i="15" s="1"/>
  <c r="P13" i="32" s="1"/>
  <c r="S27" i="15"/>
  <c r="S29" i="15" s="1"/>
  <c r="S13" i="32" s="1"/>
  <c r="Q32" i="4"/>
  <c r="R17" i="4"/>
  <c r="L23" i="4"/>
  <c r="M38" i="4"/>
  <c r="P20" i="6"/>
  <c r="P26" i="6" s="1"/>
  <c r="P43" i="17"/>
  <c r="P131" i="6"/>
  <c r="P20" i="17"/>
  <c r="P26" i="17" s="1"/>
  <c r="P29" i="17" s="1"/>
  <c r="P18" i="11" s="1"/>
  <c r="R27" i="31"/>
  <c r="R29" i="31" s="1"/>
  <c r="R16" i="11" s="1"/>
  <c r="O27" i="31"/>
  <c r="O29" i="31" s="1"/>
  <c r="O16" i="11" s="1"/>
  <c r="Q27" i="31"/>
  <c r="Q29" i="31" s="1"/>
  <c r="Q16" i="11" s="1"/>
  <c r="P27" i="31"/>
  <c r="P29" i="31" s="1"/>
  <c r="P16" i="11" s="1"/>
  <c r="S27" i="31"/>
  <c r="S29" i="31" s="1"/>
  <c r="S16" i="11" s="1"/>
  <c r="R38" i="4"/>
  <c r="S23" i="4"/>
  <c r="I87" i="26"/>
  <c r="H91" i="26"/>
  <c r="R37" i="4"/>
  <c r="S22" i="4"/>
  <c r="L158" i="28"/>
  <c r="L154" i="28"/>
  <c r="L150" i="28"/>
  <c r="R16" i="4"/>
  <c r="Q31" i="4"/>
  <c r="H96" i="26"/>
  <c r="I96" i="26" s="1"/>
  <c r="I92" i="26"/>
  <c r="L37" i="4"/>
  <c r="K22" i="4"/>
  <c r="Q40" i="4"/>
  <c r="P25" i="4"/>
  <c r="P29" i="6" l="1"/>
  <c r="P14" i="11" s="1"/>
  <c r="S42" i="4"/>
  <c r="R27" i="4"/>
  <c r="K23" i="4"/>
  <c r="L38" i="4"/>
  <c r="I93" i="26"/>
  <c r="H97" i="26"/>
  <c r="I97" i="26" s="1"/>
  <c r="S17" i="4"/>
  <c r="R32" i="4"/>
  <c r="I91" i="26"/>
  <c r="H95" i="26"/>
  <c r="I95" i="26" s="1"/>
  <c r="S18" i="4"/>
  <c r="R33" i="4"/>
  <c r="R31" i="4"/>
  <c r="S16" i="4"/>
  <c r="M24" i="4"/>
  <c r="N39" i="4"/>
  <c r="S21" i="4"/>
  <c r="R36" i="4"/>
  <c r="O25" i="4"/>
  <c r="P40" i="4"/>
  <c r="Q26" i="4"/>
  <c r="R41" i="4"/>
  <c r="K37" i="4"/>
  <c r="J22" i="4"/>
  <c r="S37" i="4"/>
  <c r="T22" i="4"/>
  <c r="T37" i="4" s="1"/>
  <c r="K154" i="28"/>
  <c r="K150" i="28"/>
  <c r="K158" i="28"/>
  <c r="Q131" i="6"/>
  <c r="Q20" i="17"/>
  <c r="Q26" i="17" s="1"/>
  <c r="Q29" i="17" s="1"/>
  <c r="Q18" i="11" s="1"/>
  <c r="Q43" i="17"/>
  <c r="Q20" i="6"/>
  <c r="Q26" i="6" s="1"/>
  <c r="Q29" i="6" s="1"/>
  <c r="Q14" i="11" s="1"/>
  <c r="T23" i="4"/>
  <c r="T38" i="4" s="1"/>
  <c r="S38" i="4"/>
  <c r="S40" i="4"/>
  <c r="T25" i="4"/>
  <c r="T40" i="4" s="1"/>
  <c r="S19" i="4"/>
  <c r="R34" i="4"/>
  <c r="S20" i="4"/>
  <c r="R35" i="4"/>
  <c r="S39" i="4"/>
  <c r="T24" i="4"/>
  <c r="T39" i="4" s="1"/>
  <c r="S20" i="6" l="1"/>
  <c r="S26" i="6" s="1"/>
  <c r="S29" i="6" s="1"/>
  <c r="S14" i="11" s="1"/>
  <c r="S43" i="17"/>
  <c r="S20" i="17"/>
  <c r="S26" i="17" s="1"/>
  <c r="S29" i="17" s="1"/>
  <c r="S18" i="11" s="1"/>
  <c r="S131" i="6"/>
  <c r="O40" i="4"/>
  <c r="N25" i="4"/>
  <c r="T19" i="4"/>
  <c r="T34" i="4" s="1"/>
  <c r="S34" i="4"/>
  <c r="T18" i="4"/>
  <c r="T33" i="4" s="1"/>
  <c r="S33" i="4"/>
  <c r="S36" i="4"/>
  <c r="T21" i="4"/>
  <c r="T36" i="4" s="1"/>
  <c r="I22" i="4"/>
  <c r="I37" i="4" s="1"/>
  <c r="J37" i="4"/>
  <c r="P26" i="4"/>
  <c r="Q41" i="4"/>
  <c r="S32" i="4"/>
  <c r="T17" i="4"/>
  <c r="T32" i="4" s="1"/>
  <c r="J150" i="28"/>
  <c r="J154" i="28"/>
  <c r="J158" i="28"/>
  <c r="L24" i="4"/>
  <c r="M39" i="4"/>
  <c r="Q27" i="4"/>
  <c r="R42" i="4"/>
  <c r="R131" i="6"/>
  <c r="R20" i="17"/>
  <c r="R26" i="17" s="1"/>
  <c r="R29" i="17" s="1"/>
  <c r="R18" i="11" s="1"/>
  <c r="R43" i="17"/>
  <c r="R20" i="6"/>
  <c r="R26" i="6" s="1"/>
  <c r="R29" i="6" s="1"/>
  <c r="R14" i="11" s="1"/>
  <c r="T16" i="4"/>
  <c r="T31" i="4" s="1"/>
  <c r="S31" i="4"/>
  <c r="J23" i="4"/>
  <c r="K38" i="4"/>
  <c r="S35" i="4"/>
  <c r="T20" i="4"/>
  <c r="T35" i="4" s="1"/>
  <c r="P41" i="4" l="1"/>
  <c r="O26" i="4"/>
  <c r="M25" i="4"/>
  <c r="N40" i="4"/>
  <c r="Q42" i="4"/>
  <c r="P27" i="4"/>
  <c r="J38" i="4"/>
  <c r="I23" i="4"/>
  <c r="I38" i="4" s="1"/>
  <c r="K24" i="4"/>
  <c r="L39" i="4"/>
  <c r="I154" i="28"/>
  <c r="N155" i="28" s="1"/>
  <c r="M18" i="28" s="1"/>
  <c r="M24" i="28" s="1"/>
  <c r="I158" i="28"/>
  <c r="N159" i="28" s="1"/>
  <c r="I150" i="28"/>
  <c r="N151" i="28" s="1"/>
  <c r="M12" i="28" s="1"/>
  <c r="M25" i="28" s="1"/>
  <c r="M40" i="4" l="1"/>
  <c r="L25" i="4"/>
  <c r="M27" i="28"/>
  <c r="M13" i="25" s="1"/>
  <c r="J24" i="4"/>
  <c r="K39" i="4"/>
  <c r="P42" i="4"/>
  <c r="O27" i="4"/>
  <c r="N26" i="4"/>
  <c r="O41" i="4"/>
  <c r="N41" i="4" l="1"/>
  <c r="M26" i="4"/>
  <c r="O42" i="4"/>
  <c r="N27" i="4"/>
  <c r="I24" i="4"/>
  <c r="I39" i="4" s="1"/>
  <c r="J39" i="4"/>
  <c r="K25" i="4"/>
  <c r="L40" i="4"/>
  <c r="K40" i="4" l="1"/>
  <c r="J25" i="4"/>
  <c r="M41" i="4"/>
  <c r="L26" i="4"/>
  <c r="M27" i="4"/>
  <c r="N42" i="4"/>
  <c r="J40" i="4" l="1"/>
  <c r="I25" i="4"/>
  <c r="I40" i="4" s="1"/>
  <c r="M42" i="4"/>
  <c r="L27" i="4"/>
  <c r="K26" i="4"/>
  <c r="L41" i="4"/>
  <c r="J26" i="4" l="1"/>
  <c r="K41" i="4"/>
  <c r="K27" i="4"/>
  <c r="L42" i="4"/>
  <c r="K42" i="4" l="1"/>
  <c r="J27" i="4"/>
  <c r="J41" i="4"/>
  <c r="I26" i="4"/>
  <c r="I41" i="4" s="1"/>
  <c r="I27" i="4" l="1"/>
  <c r="I42" i="4" s="1"/>
  <c r="J42" i="4"/>
</calcChain>
</file>

<file path=xl/sharedStrings.xml><?xml version="1.0" encoding="utf-8"?>
<sst xmlns="http://schemas.openxmlformats.org/spreadsheetml/2006/main" count="1524" uniqueCount="368">
  <si>
    <t>Ausgrid’s 2024-29 Revised Proposal</t>
  </si>
  <si>
    <t xml:space="preserve">Attachment 6.3: Step changes model </t>
  </si>
  <si>
    <t>Ausgrid Opex step changes model</t>
  </si>
  <si>
    <t>Index</t>
  </si>
  <si>
    <t>Model index</t>
  </si>
  <si>
    <t>Inputs</t>
  </si>
  <si>
    <t>Sheet Description</t>
  </si>
  <si>
    <t>Input|General</t>
  </si>
  <si>
    <t>Inputs NSP name, regulatory years for the prior and forecast regulatory control period etc.</t>
  </si>
  <si>
    <t>Input|Inflation</t>
  </si>
  <si>
    <t>Inputs inflation data.</t>
  </si>
  <si>
    <t>Calc|CPI Indexes</t>
  </si>
  <si>
    <t>Calculates CPI escalation indexes based on inflation data.</t>
  </si>
  <si>
    <t>Calc|Cyber security</t>
  </si>
  <si>
    <t>Calculates the opex step change for Cyber security from input data.</t>
  </si>
  <si>
    <t>Calc|Insurance premiums</t>
  </si>
  <si>
    <t>Calculates the opex step change for Insurance premiums from input data.</t>
  </si>
  <si>
    <t>Calc|Community resilience</t>
  </si>
  <si>
    <t>Calculates the opex step change for Community resilience from input data.</t>
  </si>
  <si>
    <t>Calc|Smart meter data</t>
  </si>
  <si>
    <t>Calculates the opex step change for Smart meter data from input data.</t>
  </si>
  <si>
    <t>Calc|Network innovation program</t>
  </si>
  <si>
    <t>Calculates the opex step change for Network innovation program from input data.</t>
  </si>
  <si>
    <t>Calc|ICT enablement for CER</t>
  </si>
  <si>
    <t>Calculates the opex step change for ICT enablement for CER integration from input data.</t>
  </si>
  <si>
    <t>Calc|Property</t>
  </si>
  <si>
    <t>Calculates the opex step change for Property, related to forecast property disposals.</t>
  </si>
  <si>
    <t>Calc|BY Adj SaaS</t>
  </si>
  <si>
    <t>Calculates the Base year adjustment for SaaS implementation cost from input data.</t>
  </si>
  <si>
    <t>Calc|BY Adj CAM adjusment</t>
  </si>
  <si>
    <t>Calculates the Base year adjustment for CAM change from input data.</t>
  </si>
  <si>
    <t>Calc|BY Adj Nature induced cost</t>
  </si>
  <si>
    <t>Calculates the Base year adjustment for Nature induced costs from input data.</t>
  </si>
  <si>
    <t>Output|Step Changes</t>
  </si>
  <si>
    <t>Outputs the forecast needed as opex step changes in the Opex Model.</t>
  </si>
  <si>
    <t>Output|Category Specific</t>
  </si>
  <si>
    <t>Outputs the forecast needed as category specific forecasts in the Opex Model.</t>
  </si>
  <si>
    <t>Output|Base Year Adjustments</t>
  </si>
  <si>
    <t>Outputs the forecast needed as base year adjustments to opex in the Opex Model.</t>
  </si>
  <si>
    <t>Lookup|Tables</t>
  </si>
  <si>
    <t>Includes the lookup tables used within this model.</t>
  </si>
  <si>
    <t>End</t>
  </si>
  <si>
    <t>Ausgrid Opex step change model</t>
  </si>
  <si>
    <t>Input | General</t>
  </si>
  <si>
    <t>Input | General inputs</t>
  </si>
  <si>
    <t>Source</t>
  </si>
  <si>
    <t>Value</t>
  </si>
  <si>
    <t>NSP name</t>
  </si>
  <si>
    <t>NSP</t>
  </si>
  <si>
    <t>Ausgrid</t>
  </si>
  <si>
    <t>Year ending</t>
  </si>
  <si>
    <t>Previous regulatory control period, first year</t>
  </si>
  <si>
    <t>Forecast base year</t>
  </si>
  <si>
    <t>Previous regulatory control period, last year</t>
  </si>
  <si>
    <t>Forecast regulatory control period, first year</t>
  </si>
  <si>
    <t>Forecast regulatory control period, last year</t>
  </si>
  <si>
    <t>AER opex model v2.1</t>
  </si>
  <si>
    <t>Back to Index</t>
  </si>
  <si>
    <t>Key:</t>
  </si>
  <si>
    <t>Input</t>
  </si>
  <si>
    <t>External Link</t>
  </si>
  <si>
    <t>Internal Link</t>
  </si>
  <si>
    <t>Worksheet check:</t>
  </si>
  <si>
    <t>Overall Check:</t>
  </si>
  <si>
    <t>Ok</t>
  </si>
  <si>
    <t>Index value, new base</t>
  </si>
  <si>
    <t>Percentage Change from Corresponding Quarter of Previous Year</t>
  </si>
  <si>
    <t>Forecast annual CPI growth</t>
  </si>
  <si>
    <t>Forecast and actual index value</t>
  </si>
  <si>
    <t>ABS</t>
  </si>
  <si>
    <t>Calculated</t>
  </si>
  <si>
    <t>RBA</t>
  </si>
  <si>
    <t>Unit</t>
  </si>
  <si>
    <t>index</t>
  </si>
  <si>
    <t>Percent</t>
  </si>
  <si>
    <t>Estimate: RBA, Statement on monetary policy (SoMP), August 2023.</t>
  </si>
  <si>
    <t>FY25-FY29 forecast for regulatory inflation</t>
  </si>
  <si>
    <t>Calc | CPI Indexes</t>
  </si>
  <si>
    <t>Basis</t>
  </si>
  <si>
    <t>Input | Inflation</t>
  </si>
  <si>
    <t>Inflation</t>
  </si>
  <si>
    <t>calculated</t>
  </si>
  <si>
    <t>Per cent</t>
  </si>
  <si>
    <t>CPI indexes (real to real)</t>
  </si>
  <si>
    <t>CPI indexes (nominal to real)</t>
  </si>
  <si>
    <t>Calc | Cyber security</t>
  </si>
  <si>
    <t>Input | Base year expenditure</t>
  </si>
  <si>
    <t>$millions</t>
  </si>
  <si>
    <t>Base year opex</t>
  </si>
  <si>
    <t>Cyber security</t>
  </si>
  <si>
    <t>AGD</t>
  </si>
  <si>
    <t>Input | Forecast next period</t>
  </si>
  <si>
    <t>Forecast period opex</t>
  </si>
  <si>
    <t>Calc | Step change</t>
  </si>
  <si>
    <t>Step change</t>
  </si>
  <si>
    <t>Forecast period Cyber security opex</t>
  </si>
  <si>
    <t>Less: Base year Cyber security opex</t>
  </si>
  <si>
    <t>Total Cyber security opex step change</t>
  </si>
  <si>
    <t>Data | Workings</t>
  </si>
  <si>
    <t>Cyber security forecast costs</t>
  </si>
  <si>
    <t>Cyber security forecast opex</t>
  </si>
  <si>
    <t>$dollars</t>
  </si>
  <si>
    <t>Line of Business % allocation to SCS</t>
  </si>
  <si>
    <t>Cyber security opex allocated to SCS</t>
  </si>
  <si>
    <t>Cyber security opex</t>
  </si>
  <si>
    <t>Calc | Insurance premiums</t>
  </si>
  <si>
    <t>Insurance premiums</t>
  </si>
  <si>
    <t>nominal</t>
  </si>
  <si>
    <t>Forecast period Insurance premiums</t>
  </si>
  <si>
    <t>Less: Base year Insurance premiums</t>
  </si>
  <si>
    <t>Total Insurance premium opex step change</t>
  </si>
  <si>
    <t>Actual Premiums and Forecast Growth</t>
  </si>
  <si>
    <t>Start date</t>
  </si>
  <si>
    <t>End/renewal date</t>
  </si>
  <si>
    <t>Comment</t>
  </si>
  <si>
    <t>General Liability (Bushfire) &amp; Professional Indemnity Premium</t>
  </si>
  <si>
    <t>Marsh</t>
  </si>
  <si>
    <t>Directors &amp; Officers Liability Premium</t>
  </si>
  <si>
    <t>Industrial Special Risk/Property Premium</t>
  </si>
  <si>
    <t>Cyber Premium</t>
  </si>
  <si>
    <t>NSW Workers Compensation (Self Insured) Premium</t>
  </si>
  <si>
    <t>self-insured</t>
  </si>
  <si>
    <t>NSW Workers Compensation (Excess of Loss) Premium</t>
  </si>
  <si>
    <t>PLUS ES NSW Workers Compensation Direct (new) Premium</t>
  </si>
  <si>
    <t>PLUS ES Victorian Workers Compensation Direct (new) Premium</t>
  </si>
  <si>
    <t>Victorian Workers Compensation Direct Premium</t>
  </si>
  <si>
    <t>Motor Vehicle Compulsory Third Party (CTP) Premium</t>
  </si>
  <si>
    <t>Motor Vehicle (including Claims Handling) Premium</t>
  </si>
  <si>
    <t>Crime Premium</t>
  </si>
  <si>
    <t>Corporate Travel Premium</t>
  </si>
  <si>
    <t>Mobile Plant &amp; Equipment Premium</t>
  </si>
  <si>
    <t>Contract Works Material Damage Premium</t>
  </si>
  <si>
    <t>Marine Transit Premium</t>
  </si>
  <si>
    <t>Asbestos Removal Liability Premium</t>
  </si>
  <si>
    <t>Drone Hull &amp; Liability Premium</t>
  </si>
  <si>
    <t>Broker fees</t>
  </si>
  <si>
    <t>Total nominal</t>
  </si>
  <si>
    <t>Forecast Growth in Premiums</t>
  </si>
  <si>
    <t>Assumption for Increase in Industrial Special Risk/Property Premium due to growth in RAB</t>
  </si>
  <si>
    <t>Broker assumption for RAB Growth</t>
  </si>
  <si>
    <t>Apply Broker assumption for RAB Growth?</t>
  </si>
  <si>
    <t>No</t>
  </si>
  <si>
    <t>Assumed increase in Special Risk/Property Premium due to growth</t>
  </si>
  <si>
    <t>Forecast Total Premiums by class of insurance (excl GST)</t>
  </si>
  <si>
    <t>Annualised Premiums by class of insurance (excl GST)</t>
  </si>
  <si>
    <t>Insurance Premiums allocation to SCS</t>
  </si>
  <si>
    <t>Calc |Climate resilience</t>
  </si>
  <si>
    <t>Climate resilience</t>
  </si>
  <si>
    <t>Forecast period Climate resilience opex</t>
  </si>
  <si>
    <t>Less: Base year Climate resilience opex</t>
  </si>
  <si>
    <t>Total Climate resilience opex step change</t>
  </si>
  <si>
    <t>Program</t>
  </si>
  <si>
    <t>Program Type</t>
  </si>
  <si>
    <t>Total Opex FY25-29</t>
  </si>
  <si>
    <t>Community Resilience Project</t>
  </si>
  <si>
    <t>Local</t>
  </si>
  <si>
    <t>Extreme Heat Project</t>
  </si>
  <si>
    <t>Whole of Network</t>
  </si>
  <si>
    <t xml:space="preserve">Bushfire (Build Back Better) project (software acquisition) </t>
  </si>
  <si>
    <t>Network Resilience: Climate Impact Assessments &amp; program assurance</t>
  </si>
  <si>
    <t>Response effectiveness: Multi-agency response information and data</t>
  </si>
  <si>
    <t>Total</t>
  </si>
  <si>
    <t>Forecast annual expenditure profile</t>
  </si>
  <si>
    <t>Climate resilience annual opex step change</t>
  </si>
  <si>
    <t>Climate resilience opex step change</t>
  </si>
  <si>
    <t>Calc |Smart meter data</t>
  </si>
  <si>
    <t>Smart meter data</t>
  </si>
  <si>
    <t>Forecast period Smart meter data opex</t>
  </si>
  <si>
    <t>Less: Base year Smart meter data opex</t>
  </si>
  <si>
    <t>Total Smart meter data opex step change</t>
  </si>
  <si>
    <t>Calc |Network innovation program</t>
  </si>
  <si>
    <t>Network innovation program</t>
  </si>
  <si>
    <t>Calc | Category specific forecasts</t>
  </si>
  <si>
    <t>Forecast period Network innovation program opex</t>
  </si>
  <si>
    <t>Less: Base year Network innovation program opex</t>
  </si>
  <si>
    <t>Total Network innovation program category specific forecast</t>
  </si>
  <si>
    <t>Calc |ICT enablement for CER integration</t>
  </si>
  <si>
    <t>ICT enablement for CER integration opex</t>
  </si>
  <si>
    <t>Forecast period ICT enablement for CER integration opex</t>
  </si>
  <si>
    <t>Less: Base year ICT enablement for CER integration opex</t>
  </si>
  <si>
    <t>Total DER ICT opex step change</t>
  </si>
  <si>
    <t>Forecast for ICT enablement for CER integration opex step change</t>
  </si>
  <si>
    <t>1. Customer Connection Performance &amp; Compliance</t>
  </si>
  <si>
    <t>2a. Customer Connection Assessment/Process</t>
  </si>
  <si>
    <t>2b. Connection maps and modelling</t>
  </si>
  <si>
    <t>2c. Customer education on CER options, benefits</t>
  </si>
  <si>
    <t>3. VPP/DOE Integration (+API, Utility Server)</t>
  </si>
  <si>
    <t>4. Dynamic Pricing</t>
  </si>
  <si>
    <t>5. Billing Engine &amp; basic DNP (prior to ERP upgrades)</t>
  </si>
  <si>
    <t>6. Network Modelling Uplift (Load flow/constraint analysis)</t>
  </si>
  <si>
    <t>7. Multiple Horizon Forecasting (Operational -&gt; DOEs, dynamic prices)</t>
  </si>
  <si>
    <t>8. Hosting services for 1, 3(partial), 4, 5, 6, 7.</t>
  </si>
  <si>
    <t>9. Inter-system integration</t>
  </si>
  <si>
    <t>Ausgrid resourcing (technical/concept development, change management, process improvements)</t>
  </si>
  <si>
    <t>Ausgrid support costs (data cleansing, project management, system administration etc.)</t>
  </si>
  <si>
    <t>ICT enablement for CER integration opex step changes</t>
  </si>
  <si>
    <t>ICT enablement for CER integration opex step change</t>
  </si>
  <si>
    <t>AER Preliminary Position</t>
  </si>
  <si>
    <t>Calc | Property Opex</t>
  </si>
  <si>
    <t>Property opex for properties forecast for disposal</t>
  </si>
  <si>
    <t>Property opex after disposal of properties</t>
  </si>
  <si>
    <t>Less: Base year opex for property disposals</t>
  </si>
  <si>
    <t>Total Property disposals opex step change</t>
  </si>
  <si>
    <t>Opex for property disposals</t>
  </si>
  <si>
    <t>Land tax</t>
  </si>
  <si>
    <t>Rates</t>
  </si>
  <si>
    <t>Utilities and maintenance costs</t>
  </si>
  <si>
    <t>Total property outgoings</t>
  </si>
  <si>
    <t>Property opex allocated to SCS</t>
  </si>
  <si>
    <t>Property opex</t>
  </si>
  <si>
    <t>Calc | BY Adj CAM adjustment</t>
  </si>
  <si>
    <t>Input | Estimated expenditure prior to CAM change</t>
  </si>
  <si>
    <t>Opex based on current CAM</t>
  </si>
  <si>
    <t>Average annual opex FY19-FY23</t>
  </si>
  <si>
    <t>Input | Estimated expenditure after CAM change</t>
  </si>
  <si>
    <t>Opex based on new CAM</t>
  </si>
  <si>
    <t>Calc | Base year adjustment</t>
  </si>
  <si>
    <t>Base year adjustment</t>
  </si>
  <si>
    <t>Average annual opex based on new CAM</t>
  </si>
  <si>
    <t>Less: Average annual opex based on current CAM</t>
  </si>
  <si>
    <t xml:space="preserve">Total CAM adjustment </t>
  </si>
  <si>
    <t>Data | CAM analysis summary</t>
  </si>
  <si>
    <t>FY23 Actual Opex</t>
  </si>
  <si>
    <t>FY23 Opex (current CAM)</t>
  </si>
  <si>
    <t>FY23 Opex (based on new CAM)</t>
  </si>
  <si>
    <t>Variance</t>
  </si>
  <si>
    <t>Direct</t>
  </si>
  <si>
    <t>Shared</t>
  </si>
  <si>
    <t>SCS distribution</t>
  </si>
  <si>
    <t>SCS transmission</t>
  </si>
  <si>
    <t>SCS</t>
  </si>
  <si>
    <t>Street lighting</t>
  </si>
  <si>
    <t>Type 5-6 metering</t>
  </si>
  <si>
    <t>ANS metering</t>
  </si>
  <si>
    <t>ANS connections</t>
  </si>
  <si>
    <t>ACS</t>
  </si>
  <si>
    <t>External</t>
  </si>
  <si>
    <t>PLUS ES CSA</t>
  </si>
  <si>
    <t>Unregulated NSP</t>
  </si>
  <si>
    <t>Total NSP</t>
  </si>
  <si>
    <t>PLUS ES</t>
  </si>
  <si>
    <t>Eliminations</t>
  </si>
  <si>
    <t>Total (incl. PLUS ES)</t>
  </si>
  <si>
    <t xml:space="preserve">FY22 Actual Opex </t>
  </si>
  <si>
    <t>FY22 Opex (current CAM)</t>
  </si>
  <si>
    <t>FY22 Opex (based on new CAM)</t>
  </si>
  <si>
    <t xml:space="preserve">FY21 Actual Opex </t>
  </si>
  <si>
    <t>FY21 Opex (current CAM)</t>
  </si>
  <si>
    <t>FY21 Opex (based on new CAM)</t>
  </si>
  <si>
    <t xml:space="preserve">FY20 Actual Opex </t>
  </si>
  <si>
    <t>FY20 Opex (current CAM)</t>
  </si>
  <si>
    <t>FY20 Opex (based on new CAM)</t>
  </si>
  <si>
    <t xml:space="preserve">FY19 Actual Opex </t>
  </si>
  <si>
    <t>FY19 Opex (current CAM)</t>
  </si>
  <si>
    <t>FY19 Opex (based on new CAM)</t>
  </si>
  <si>
    <t>FY19-FY23 - SCS Opex Variance Summary</t>
  </si>
  <si>
    <t>Average</t>
  </si>
  <si>
    <t>SCS Opex based on current CAM</t>
  </si>
  <si>
    <t>Average SCS Opex based on current CAM</t>
  </si>
  <si>
    <t>SCS Opex based on new CAM</t>
  </si>
  <si>
    <t>Average SCS Opex based on new CAM</t>
  </si>
  <si>
    <t>SCS Opex Variance</t>
  </si>
  <si>
    <t>Average SCS Opex Variance</t>
  </si>
  <si>
    <t>Output | Step Changes</t>
  </si>
  <si>
    <t>Inputs for Opex Model</t>
  </si>
  <si>
    <t>Note. The dollar base should be consistent with the post tax revenue model</t>
  </si>
  <si>
    <t>Step Changes</t>
  </si>
  <si>
    <t>Notes</t>
  </si>
  <si>
    <t>ICT enablement for CER integration</t>
  </si>
  <si>
    <t>Property</t>
  </si>
  <si>
    <t>Output | Category Specific</t>
  </si>
  <si>
    <t>Category specific forecasts</t>
  </si>
  <si>
    <t>Output | Base Year Adjustments</t>
  </si>
  <si>
    <t>Base Year Adjustments</t>
  </si>
  <si>
    <t>CAM adjustment</t>
  </si>
  <si>
    <t>Lookup | Tables</t>
  </si>
  <si>
    <t>Unit Denominations</t>
  </si>
  <si>
    <t>Ref</t>
  </si>
  <si>
    <t>Dollars</t>
  </si>
  <si>
    <t>AER</t>
  </si>
  <si>
    <t>Thousands</t>
  </si>
  <si>
    <t>$000</t>
  </si>
  <si>
    <t>Millions</t>
  </si>
  <si>
    <t>unit</t>
  </si>
  <si>
    <t>Number</t>
  </si>
  <si>
    <t>number</t>
  </si>
  <si>
    <t>Factor</t>
  </si>
  <si>
    <t>factor</t>
  </si>
  <si>
    <t>Actual</t>
  </si>
  <si>
    <t>Estimate</t>
  </si>
  <si>
    <t>Months</t>
  </si>
  <si>
    <t>month 1</t>
  </si>
  <si>
    <t>month 2</t>
  </si>
  <si>
    <t>month 3</t>
  </si>
  <si>
    <t>month 4</t>
  </si>
  <si>
    <t>month 5</t>
  </si>
  <si>
    <t>month 6</t>
  </si>
  <si>
    <t>month 7</t>
  </si>
  <si>
    <t>month 8</t>
  </si>
  <si>
    <t>month 9</t>
  </si>
  <si>
    <t>month 10</t>
  </si>
  <si>
    <t>month 11</t>
  </si>
  <si>
    <t>month 12</t>
  </si>
  <si>
    <t>Years</t>
  </si>
  <si>
    <t>Calendar Year</t>
  </si>
  <si>
    <t>Year Ending</t>
  </si>
  <si>
    <t>Financial Year</t>
  </si>
  <si>
    <t>Regulatory years</t>
  </si>
  <si>
    <t>Year</t>
  </si>
  <si>
    <t>Previous period year -1</t>
  </si>
  <si>
    <t>Previous period year 0</t>
  </si>
  <si>
    <t>Previous period year 1</t>
  </si>
  <si>
    <t>Previous period year 2</t>
  </si>
  <si>
    <t>Previous period year 3</t>
  </si>
  <si>
    <t>Previous period year 4</t>
  </si>
  <si>
    <t>Previous period year 5</t>
  </si>
  <si>
    <t>Forecast period year 1</t>
  </si>
  <si>
    <t>Forecast period year 2</t>
  </si>
  <si>
    <t>Forecast period year 3</t>
  </si>
  <si>
    <t>Forecast period year 4</t>
  </si>
  <si>
    <t>Forecast period year 5</t>
  </si>
  <si>
    <t>Base year inputs</t>
  </si>
  <si>
    <t>Dollar basis of inputs</t>
  </si>
  <si>
    <t>Nominal dollars</t>
  </si>
  <si>
    <t>CAM analysis</t>
  </si>
  <si>
    <t>Calculation of shared cost allocators</t>
  </si>
  <si>
    <t>FY19</t>
  </si>
  <si>
    <t>FY20</t>
  </si>
  <si>
    <t>FY21</t>
  </si>
  <si>
    <t>FY22</t>
  </si>
  <si>
    <t>FY23</t>
  </si>
  <si>
    <t>FY25</t>
  </si>
  <si>
    <t>FY26</t>
  </si>
  <si>
    <t>FY27</t>
  </si>
  <si>
    <t>FY28</t>
  </si>
  <si>
    <t>FY29</t>
  </si>
  <si>
    <t>1. Weighted Average Revenue (WAR)</t>
  </si>
  <si>
    <t>FY19 Actual</t>
  </si>
  <si>
    <t>FY20 Actual</t>
  </si>
  <si>
    <t>FY21 Actual</t>
  </si>
  <si>
    <t>FY22 Actual</t>
  </si>
  <si>
    <t>FY23 Actual</t>
  </si>
  <si>
    <t>FY25 Revenue</t>
  </si>
  <si>
    <t>FY26 Revenue</t>
  </si>
  <si>
    <t>FY27 Revenue</t>
  </si>
  <si>
    <t>FY28 Revenue</t>
  </si>
  <si>
    <t>FY29 Revenue</t>
  </si>
  <si>
    <t>Methodology and application</t>
  </si>
  <si>
    <t>1a. WAR incl. SCS, ACS and Unreg NSP</t>
  </si>
  <si>
    <t>1b. WAR incl. SCS, and ACS only</t>
  </si>
  <si>
    <t>$</t>
  </si>
  <si>
    <t>%</t>
  </si>
  <si>
    <r>
      <t xml:space="preserve">WAR is calculated using actual revenue for the relevant year (excl. capital contributions). There are two variations of the WAR allocation percentage:
</t>
    </r>
    <r>
      <rPr>
        <b/>
        <sz val="10"/>
        <color theme="1"/>
        <rFont val="Calibri"/>
        <family val="2"/>
        <scheme val="minor"/>
      </rPr>
      <t>1. WAR incl. Unregulated NSP revenue</t>
    </r>
    <r>
      <rPr>
        <sz val="10"/>
        <color theme="1"/>
        <rFont val="Calibri"/>
        <family val="2"/>
        <scheme val="minor"/>
      </rPr>
      <t xml:space="preserve"> – Includes SCS revenue, ACS revenue and revenue earned by the Unregulated NSP for facilities access, property rental and services provided to PLUS ES. This version is used to allocate shared costs which are deemed to support the entire business (e.g. Legal, Finance, Insurance etc).
This allocator does not factor in revenue earned by PLUS ES. Rather, the allocation percentage is calculated from the perspective of the NSP as the entity subject to the CAM. This approach will result in a suitable allocation of shared NSP costs to the unregulated line of business given it includes revenue earned by the NSP from the Corporate Services Agreement (CSA) and Labour Services Agreement (LSA) with PLUS ES (which reflects the consumption of NSP resources by PLUS ES). This approach also avoids overallocation of costs to the unregulated line of business. For example, if PLUS ES revenue grows without an increase in the consumption of NSP resources (and therefore no change to CSA/LSA revenue), then this approach would not result in an increased allocation of shared costs to the unregulated line of business.
</t>
    </r>
    <r>
      <rPr>
        <b/>
        <sz val="10"/>
        <color theme="1"/>
        <rFont val="Calibri"/>
        <family val="2"/>
        <scheme val="minor"/>
      </rPr>
      <t>2. WAR excl. Unregulated NSP revenue</t>
    </r>
    <r>
      <rPr>
        <sz val="10"/>
        <color theme="1"/>
        <rFont val="Calibri"/>
        <family val="2"/>
        <scheme val="minor"/>
      </rPr>
      <t xml:space="preserve"> – Includes SCS revenue and ACS revenue only. This version is used to allocate shared costs which are deemed to only support the regulated (SCS and ACS) part of the business (e.g., contact centre, regulatory and strategy team etc).</t>
    </r>
  </si>
  <si>
    <t>SCS Dist.
(%)</t>
  </si>
  <si>
    <t>SCS Trans.
(%)</t>
  </si>
  <si>
    <t>Total SCS revenue</t>
  </si>
  <si>
    <t>Streetlight
(%)</t>
  </si>
  <si>
    <t xml:space="preserve">  Public Lighting </t>
  </si>
  <si>
    <t>T5&amp;6 Metering (%)</t>
  </si>
  <si>
    <t xml:space="preserve">  Type 5&amp;6 Metering (smoothed)</t>
  </si>
  <si>
    <t>ANS Metering (%)</t>
  </si>
  <si>
    <t xml:space="preserve">  ANS Metering</t>
  </si>
  <si>
    <t>ANS Connections (%)</t>
  </si>
  <si>
    <t xml:space="preserve">  ANS Connection</t>
  </si>
  <si>
    <t>Unreg. NSP (%)</t>
  </si>
  <si>
    <t>External (%)</t>
  </si>
  <si>
    <t>PLUS ES
(%)</t>
  </si>
  <si>
    <t>PLUS ES CSA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</si>
</sst>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164" formatCode="_(* #,##0.00_);_(* \(#,##0.00\);_(* &quot;-&quot;??_);_(@_)"/>
    <numFmt numFmtId="165" formatCode="_-* #,##0_-;\-* #,##0_-;_-* &quot;-&quot;??_-;_-@_-"/>
    <numFmt numFmtId="166" formatCode="_(&quot;$&quot;* #,##0.00_);_(&quot;$&quot;* \(#,##0.00\);_(&quot;$&quot;* &quot;-&quot;??_);_(@_)"/>
    <numFmt numFmtId="167" formatCode="dd\-mmm"/>
    <numFmt numFmtId="168" formatCode="mmmm"/>
    <numFmt numFmtId="169" formatCode="[$-C09]mmm\-yyyy;@"/>
    <numFmt numFmtId="170" formatCode="0.0"/>
    <numFmt numFmtId="171" formatCode="_-* #,##0.0_-;\-* #,##0.0_-;_-* &quot;-&quot;??_-;_-@_-"/>
    <numFmt numFmtId="172" formatCode="mmm\ yyyy"/>
    <numFmt numFmtId="173" formatCode="_(#,##0.00%_);\(#,##0.00%\);_(&quot;-&quot;_)"/>
    <numFmt numFmtId="174" formatCode="_(#,##0_);\(#,##0\);_(&quot;-&quot;_)"/>
    <numFmt numFmtId="175" formatCode="_(#,##0.0000_);\(#,##0.0000\);_(&quot;-&quot;_)"/>
    <numFmt numFmtId="176" formatCode="_(#,##0.000_);\(#,##0.000\);_(&quot;-&quot;_)"/>
    <numFmt numFmtId="177" formatCode="_-* #,##0.0000_-;\-* #,##0.0000_-;_-* &quot;-&quot;??_-;_-@_-"/>
    <numFmt numFmtId="178" formatCode="_(#,##0.00_);\(#,##0.00\);_(&quot;-&quot;_)"/>
    <numFmt numFmtId="179" formatCode="_-* #\ ##0.00_-;\-* #\ ##0.00_-;_-* &quot;-&quot;??_-;_-@_-"/>
    <numFmt numFmtId="180" formatCode="#\ ##0.00;\-#\ ##0.00;&quot;-&quot;"/>
    <numFmt numFmtId="181" formatCode="0.00_ ;\-0.00\ "/>
    <numFmt numFmtId="182" formatCode="0_ ;\-0\ "/>
    <numFmt numFmtId="183" formatCode="d/m/yyyy;@"/>
    <numFmt numFmtId="184" formatCode="0.0%"/>
    <numFmt numFmtId="185" formatCode="####\ ##0.00;\-####\ ##0.00;&quot;-&quot;"/>
    <numFmt numFmtId="186" formatCode="0.000000"/>
    <numFmt numFmtId="187" formatCode="0.00000"/>
    <numFmt numFmtId="188" formatCode="_-* #,##0_-;* \(#,##0\)_-;_-* &quot;-&quot;_-;_-@_-"/>
    <numFmt numFmtId="189" formatCode="[$-C09]d\ mmmm\ yyyy;@"/>
  </numFmts>
  <fonts count="32" x14ac:knownFonts="1">
    <font>
      <sz val="11"/>
      <color theme="1"/>
      <name val="Calibri"/>
      <family val="2"/>
      <scheme val="minor"/>
    </font>
    <font>
      <sz val="11"/>
      <color theme="1"/>
      <name val="Calibri"/>
      <family val="2"/>
      <scheme val="minor"/>
    </font>
    <font>
      <sz val="8"/>
      <color theme="1"/>
      <name val="Arial"/>
      <family val="2"/>
    </font>
    <font>
      <b/>
      <sz val="12"/>
      <color theme="1"/>
      <name val="Arial"/>
      <family val="2"/>
    </font>
    <font>
      <sz val="8"/>
      <color indexed="8"/>
      <name val="Arial"/>
      <family val="2"/>
    </font>
    <font>
      <b/>
      <sz val="8"/>
      <color theme="1"/>
      <name val="Arial"/>
      <family val="2"/>
    </font>
    <font>
      <u/>
      <sz val="8"/>
      <color theme="10"/>
      <name val="Arial"/>
      <family val="2"/>
    </font>
    <font>
      <i/>
      <sz val="10"/>
      <color theme="1"/>
      <name val="Arial"/>
      <family val="2"/>
    </font>
    <font>
      <i/>
      <sz val="8"/>
      <color indexed="8"/>
      <name val="Arial"/>
      <family val="2"/>
    </font>
    <font>
      <b/>
      <sz val="10"/>
      <name val="Arial"/>
      <family val="2"/>
    </font>
    <font>
      <b/>
      <sz val="8"/>
      <name val="Arial"/>
      <family val="2"/>
    </font>
    <font>
      <b/>
      <i/>
      <sz val="8"/>
      <color indexed="8"/>
      <name val="Arial"/>
      <family val="2"/>
    </font>
    <font>
      <b/>
      <sz val="8"/>
      <color indexed="8"/>
      <name val="Arial"/>
      <family val="2"/>
    </font>
    <font>
      <b/>
      <i/>
      <sz val="8"/>
      <color theme="1"/>
      <name val="Arial"/>
      <family val="2"/>
    </font>
    <font>
      <b/>
      <i/>
      <sz val="8"/>
      <name val="Arial"/>
      <family val="2"/>
    </font>
    <font>
      <sz val="8"/>
      <name val="Arial"/>
      <family val="2"/>
    </font>
    <font>
      <i/>
      <sz val="8"/>
      <color theme="10"/>
      <name val="Arial"/>
      <family val="2"/>
    </font>
    <font>
      <b/>
      <sz val="9"/>
      <color theme="1"/>
      <name val="Arial"/>
      <family val="2"/>
    </font>
    <font>
      <i/>
      <sz val="8"/>
      <color theme="1"/>
      <name val="Arial"/>
      <family val="2"/>
    </font>
    <font>
      <i/>
      <u/>
      <sz val="8"/>
      <color theme="10"/>
      <name val="Arial"/>
      <family val="2"/>
    </font>
    <font>
      <u/>
      <sz val="8"/>
      <color theme="1"/>
      <name val="Arial"/>
      <family val="2"/>
    </font>
    <font>
      <sz val="8"/>
      <color rgb="FFFF0000"/>
      <name val="Arial"/>
      <family val="2"/>
    </font>
    <font>
      <i/>
      <sz val="8"/>
      <name val="Arial"/>
      <family val="2"/>
    </font>
    <font>
      <u/>
      <sz val="11"/>
      <color theme="10"/>
      <name val="Calibri"/>
      <family val="2"/>
      <scheme val="minor"/>
    </font>
    <font>
      <b/>
      <sz val="12"/>
      <color theme="1"/>
      <name val="Calibri"/>
      <family val="2"/>
      <scheme val="minor"/>
    </font>
    <font>
      <sz val="10"/>
      <color theme="1"/>
      <name val="Calibri"/>
      <family val="2"/>
      <scheme val="minor"/>
    </font>
    <font>
      <b/>
      <sz val="10"/>
      <color theme="0"/>
      <name val="Calibri"/>
      <family val="2"/>
      <scheme val="minor"/>
    </font>
    <font>
      <b/>
      <sz val="10"/>
      <name val="Calibri"/>
      <family val="2"/>
      <scheme val="minor"/>
    </font>
    <font>
      <b/>
      <sz val="10"/>
      <color theme="1"/>
      <name val="Calibri"/>
      <family val="2"/>
      <scheme val="minor"/>
    </font>
    <font>
      <sz val="9"/>
      <color theme="1"/>
      <name val="Arial"/>
      <family val="2"/>
    </font>
    <font>
      <sz val="14"/>
      <color rgb="FF0070C0"/>
      <name val="Arial"/>
      <family val="2"/>
    </font>
    <font>
      <b/>
      <sz val="20"/>
      <color rgb="FF002060"/>
      <name val="Arial"/>
      <family val="2"/>
    </font>
  </fonts>
  <fills count="14">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indexed="42"/>
        <bgColor indexed="64"/>
      </patternFill>
    </fill>
    <fill>
      <patternFill patternType="solid">
        <fgColor indexed="9"/>
        <bgColor indexed="64"/>
      </patternFill>
    </fill>
    <fill>
      <patternFill patternType="solid">
        <fgColor indexed="47"/>
        <bgColor indexed="64"/>
      </patternFill>
    </fill>
    <fill>
      <patternFill patternType="solid">
        <fgColor rgb="FFDAEEF3"/>
        <bgColor indexed="64"/>
      </patternFill>
    </fill>
    <fill>
      <patternFill patternType="solid">
        <fgColor rgb="FFCCFFCC"/>
        <bgColor indexed="64"/>
      </patternFill>
    </fill>
    <fill>
      <patternFill patternType="solid">
        <fgColor theme="3"/>
        <bgColor indexed="64"/>
      </patternFill>
    </fill>
    <fill>
      <patternFill patternType="solid">
        <fgColor indexed="43"/>
        <bgColor indexed="64"/>
      </patternFill>
    </fill>
    <fill>
      <patternFill patternType="solid">
        <fgColor rgb="FF209AD2"/>
        <bgColor indexed="64"/>
      </patternFill>
    </fill>
    <fill>
      <patternFill patternType="solid">
        <fgColor theme="0" tint="-0.14999847407452621"/>
        <bgColor indexed="64"/>
      </patternFill>
    </fill>
    <fill>
      <patternFill patternType="solid">
        <fgColor theme="1"/>
        <bgColor indexed="64"/>
      </patternFill>
    </fill>
  </fills>
  <borders count="20">
    <border>
      <left/>
      <right/>
      <top/>
      <bottom/>
      <diagonal/>
    </border>
    <border>
      <left/>
      <right/>
      <top/>
      <bottom style="medium">
        <color indexed="9"/>
      </bottom>
      <diagonal/>
    </border>
    <border>
      <left/>
      <right/>
      <top style="thin">
        <color indexed="64"/>
      </top>
      <bottom style="thin">
        <color indexed="64"/>
      </bottom>
      <diagonal/>
    </border>
    <border>
      <left style="hair">
        <color auto="1"/>
      </left>
      <right style="hair">
        <color auto="1"/>
      </right>
      <top style="hair">
        <color auto="1"/>
      </top>
      <bottom style="hair">
        <color auto="1"/>
      </bottom>
      <diagonal/>
    </border>
    <border>
      <left/>
      <right/>
      <top style="medium">
        <color indexed="9"/>
      </top>
      <bottom/>
      <diagonal/>
    </border>
    <border>
      <left/>
      <right/>
      <top/>
      <bottom style="thin">
        <color indexed="64"/>
      </bottom>
      <diagonal/>
    </border>
    <border>
      <left style="medium">
        <color indexed="18"/>
      </left>
      <right style="medium">
        <color indexed="18"/>
      </right>
      <top style="medium">
        <color indexed="18"/>
      </top>
      <bottom style="medium">
        <color indexed="18"/>
      </bottom>
      <diagonal/>
    </border>
    <border>
      <left/>
      <right/>
      <top style="medium">
        <color indexed="9"/>
      </top>
      <bottom style="thin">
        <color indexed="64"/>
      </bottom>
      <diagonal/>
    </border>
    <border>
      <left style="dashed">
        <color rgb="FFFF0000"/>
      </left>
      <right style="dashed">
        <color rgb="FFFF0000"/>
      </right>
      <top style="dashed">
        <color rgb="FFFF0000"/>
      </top>
      <bottom style="dashed">
        <color rgb="FFFF0000"/>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9" fontId="1" fillId="0" borderId="0" applyFont="0" applyFill="0" applyBorder="0" applyAlignment="0" applyProtection="0"/>
    <xf numFmtId="0" fontId="2" fillId="0" borderId="0"/>
    <xf numFmtId="0" fontId="6" fillId="0" borderId="0" applyNumberForma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74" fontId="15" fillId="0" borderId="6">
      <alignment horizontal="right" vertical="center"/>
      <protection locked="0"/>
    </xf>
    <xf numFmtId="0" fontId="17" fillId="9" borderId="0" applyNumberFormat="0" applyFill="0" applyAlignment="0">
      <alignment horizontal="centerContinuous" wrapText="1"/>
    </xf>
    <xf numFmtId="0" fontId="23" fillId="0" borderId="0" applyNumberFormat="0" applyFill="0" applyBorder="0" applyAlignment="0" applyProtection="0"/>
  </cellStyleXfs>
  <cellXfs count="212">
    <xf numFmtId="0" fontId="0" fillId="0" borderId="0" xfId="0"/>
    <xf numFmtId="0" fontId="2" fillId="2" borderId="0" xfId="2" applyFill="1"/>
    <xf numFmtId="0" fontId="3" fillId="2" borderId="0" xfId="2" applyFont="1" applyFill="1" applyAlignment="1">
      <alignment horizontal="left" vertical="center"/>
    </xf>
    <xf numFmtId="0" fontId="3" fillId="2" borderId="0" xfId="2" applyFont="1" applyFill="1" applyAlignment="1">
      <alignment horizontal="left" indent="9"/>
    </xf>
    <xf numFmtId="0" fontId="2" fillId="2" borderId="0" xfId="2" applyFill="1" applyAlignment="1">
      <alignment horizontal="right"/>
    </xf>
    <xf numFmtId="0" fontId="4" fillId="3" borderId="0" xfId="2" applyFont="1" applyFill="1" applyAlignment="1">
      <alignment horizontal="center"/>
    </xf>
    <xf numFmtId="0" fontId="4" fillId="4" borderId="0" xfId="2" applyFont="1" applyFill="1"/>
    <xf numFmtId="0" fontId="2" fillId="2" borderId="1" xfId="2" applyFill="1" applyBorder="1"/>
    <xf numFmtId="0" fontId="7" fillId="2" borderId="1" xfId="2" applyFont="1" applyFill="1" applyBorder="1" applyAlignment="1">
      <alignment horizontal="left"/>
    </xf>
    <xf numFmtId="0" fontId="7" fillId="2" borderId="1" xfId="2" applyFont="1" applyFill="1" applyBorder="1" applyAlignment="1">
      <alignment horizontal="left" indent="9"/>
    </xf>
    <xf numFmtId="165" fontId="4" fillId="5" borderId="0" xfId="2" applyNumberFormat="1" applyFont="1" applyFill="1"/>
    <xf numFmtId="165" fontId="8" fillId="5" borderId="0" xfId="2" applyNumberFormat="1" applyFont="1" applyFill="1" applyAlignment="1">
      <alignment horizontal="center"/>
    </xf>
    <xf numFmtId="0" fontId="2" fillId="6" borderId="2" xfId="2" applyFill="1" applyBorder="1"/>
    <xf numFmtId="0" fontId="5" fillId="6" borderId="2" xfId="2" applyFont="1" applyFill="1" applyBorder="1"/>
    <xf numFmtId="0" fontId="9" fillId="6" borderId="2" xfId="2" applyFont="1" applyFill="1" applyBorder="1" applyAlignment="1">
      <alignment vertical="center"/>
    </xf>
    <xf numFmtId="0" fontId="2" fillId="6" borderId="2" xfId="2" applyFill="1" applyBorder="1" applyAlignment="1">
      <alignment wrapText="1"/>
    </xf>
    <xf numFmtId="166" fontId="9" fillId="6" borderId="2" xfId="2" applyNumberFormat="1" applyFont="1" applyFill="1" applyBorder="1" applyAlignment="1">
      <alignment horizontal="center" wrapText="1"/>
    </xf>
    <xf numFmtId="0" fontId="2" fillId="5" borderId="0" xfId="2" applyFill="1" applyAlignment="1">
      <alignment wrapText="1"/>
    </xf>
    <xf numFmtId="0" fontId="2" fillId="5" borderId="0" xfId="2" applyFill="1"/>
    <xf numFmtId="0" fontId="2" fillId="0" borderId="0" xfId="2"/>
    <xf numFmtId="165" fontId="4" fillId="0" borderId="0" xfId="2" applyNumberFormat="1" applyFont="1"/>
    <xf numFmtId="165" fontId="8" fillId="0" borderId="0" xfId="2" applyNumberFormat="1" applyFont="1" applyAlignment="1">
      <alignment horizontal="center"/>
    </xf>
    <xf numFmtId="165" fontId="10" fillId="0" borderId="0" xfId="2" applyNumberFormat="1" applyFont="1"/>
    <xf numFmtId="165" fontId="11" fillId="0" borderId="0" xfId="2" applyNumberFormat="1" applyFont="1" applyAlignment="1">
      <alignment horizontal="center"/>
    </xf>
    <xf numFmtId="165" fontId="12" fillId="0" borderId="0" xfId="2" applyNumberFormat="1" applyFont="1" applyAlignment="1">
      <alignment horizontal="center"/>
    </xf>
    <xf numFmtId="167" fontId="4" fillId="7" borderId="3" xfId="2" applyNumberFormat="1" applyFont="1" applyFill="1" applyBorder="1" applyAlignment="1" applyProtection="1">
      <alignment horizontal="center"/>
      <protection locked="0"/>
    </xf>
    <xf numFmtId="168" fontId="4" fillId="7" borderId="3" xfId="2" applyNumberFormat="1" applyFont="1" applyFill="1" applyBorder="1" applyAlignment="1" applyProtection="1">
      <alignment horizontal="center"/>
      <protection locked="0"/>
    </xf>
    <xf numFmtId="1" fontId="4" fillId="7" borderId="3" xfId="2" applyNumberFormat="1" applyFont="1" applyFill="1" applyBorder="1" applyAlignment="1" applyProtection="1">
      <alignment horizontal="center"/>
      <protection locked="0"/>
    </xf>
    <xf numFmtId="165" fontId="11" fillId="0" borderId="0" xfId="2" applyNumberFormat="1" applyFont="1" applyAlignment="1">
      <alignment horizontal="center" wrapText="1"/>
    </xf>
    <xf numFmtId="165" fontId="12" fillId="0" borderId="0" xfId="2" applyNumberFormat="1" applyFont="1"/>
    <xf numFmtId="165" fontId="8" fillId="0" borderId="0" xfId="2" applyNumberFormat="1" applyFont="1" applyAlignment="1">
      <alignment horizontal="center" wrapText="1"/>
    </xf>
    <xf numFmtId="169" fontId="4" fillId="0" borderId="0" xfId="2" applyNumberFormat="1" applyFont="1" applyAlignment="1">
      <alignment horizontal="left"/>
    </xf>
    <xf numFmtId="170" fontId="4" fillId="7" borderId="3" xfId="2" applyNumberFormat="1" applyFont="1" applyFill="1" applyBorder="1" applyAlignment="1" applyProtection="1">
      <alignment horizontal="center"/>
      <protection locked="0"/>
    </xf>
    <xf numFmtId="171" fontId="4" fillId="0" borderId="0" xfId="2" applyNumberFormat="1" applyFont="1"/>
    <xf numFmtId="10" fontId="4" fillId="0" borderId="0" xfId="4" applyNumberFormat="1" applyFont="1" applyAlignment="1" applyProtection="1">
      <alignment horizontal="center"/>
    </xf>
    <xf numFmtId="171" fontId="4" fillId="0" borderId="0" xfId="2" applyNumberFormat="1" applyFont="1" applyProtection="1">
      <protection locked="0"/>
    </xf>
    <xf numFmtId="171" fontId="12" fillId="0" borderId="0" xfId="2" applyNumberFormat="1" applyFont="1" applyProtection="1">
      <protection locked="0"/>
    </xf>
    <xf numFmtId="165" fontId="4" fillId="0" borderId="0" xfId="2" applyNumberFormat="1" applyFont="1" applyProtection="1">
      <protection locked="0"/>
    </xf>
    <xf numFmtId="0" fontId="5" fillId="2" borderId="4" xfId="2" applyFont="1" applyFill="1" applyBorder="1"/>
    <xf numFmtId="0" fontId="13" fillId="2" borderId="4" xfId="2" applyFont="1" applyFill="1" applyBorder="1" applyAlignment="1">
      <alignment horizontal="center"/>
    </xf>
    <xf numFmtId="172" fontId="13" fillId="2" borderId="4" xfId="2" applyNumberFormat="1" applyFont="1" applyFill="1" applyBorder="1" applyAlignment="1">
      <alignment horizontal="left"/>
    </xf>
    <xf numFmtId="0" fontId="13" fillId="2" borderId="4" xfId="2" applyFont="1" applyFill="1" applyBorder="1"/>
    <xf numFmtId="0" fontId="13" fillId="6" borderId="2" xfId="2" applyFont="1" applyFill="1" applyBorder="1"/>
    <xf numFmtId="0" fontId="13" fillId="6" borderId="2" xfId="2" applyFont="1" applyFill="1" applyBorder="1" applyAlignment="1">
      <alignment horizontal="center"/>
    </xf>
    <xf numFmtId="0" fontId="14" fillId="6" borderId="2" xfId="2" applyFont="1" applyFill="1" applyBorder="1" applyAlignment="1">
      <alignment horizontal="center" vertical="center"/>
    </xf>
    <xf numFmtId="0" fontId="14" fillId="6" borderId="2" xfId="2" applyFont="1" applyFill="1" applyBorder="1" applyAlignment="1">
      <alignment vertical="center"/>
    </xf>
    <xf numFmtId="172" fontId="13" fillId="6" borderId="2" xfId="2" applyNumberFormat="1" applyFont="1" applyFill="1" applyBorder="1" applyAlignment="1">
      <alignment horizontal="center" wrapText="1"/>
    </xf>
    <xf numFmtId="0" fontId="13" fillId="6" borderId="2" xfId="2" applyFont="1" applyFill="1" applyBorder="1" applyAlignment="1">
      <alignment wrapText="1"/>
    </xf>
    <xf numFmtId="166" fontId="14" fillId="6" borderId="2" xfId="2" applyNumberFormat="1" applyFont="1" applyFill="1" applyBorder="1" applyAlignment="1">
      <alignment horizontal="center" wrapText="1"/>
    </xf>
    <xf numFmtId="0" fontId="13" fillId="5" borderId="0" xfId="2" applyFont="1" applyFill="1" applyAlignment="1">
      <alignment wrapText="1"/>
    </xf>
    <xf numFmtId="0" fontId="13" fillId="5" borderId="0" xfId="2" applyFont="1" applyFill="1"/>
    <xf numFmtId="0" fontId="13" fillId="0" borderId="0" xfId="2" applyFont="1"/>
    <xf numFmtId="172" fontId="12" fillId="0" borderId="5" xfId="2" applyNumberFormat="1" applyFont="1" applyBorder="1" applyAlignment="1">
      <alignment horizontal="center"/>
    </xf>
    <xf numFmtId="10" fontId="4" fillId="0" borderId="0" xfId="4" applyNumberFormat="1" applyFont="1" applyBorder="1" applyAlignment="1" applyProtection="1">
      <alignment horizontal="center"/>
    </xf>
    <xf numFmtId="165" fontId="4" fillId="0" borderId="0" xfId="2" applyNumberFormat="1" applyFont="1" applyAlignment="1">
      <alignment horizontal="left" indent="1"/>
    </xf>
    <xf numFmtId="165" fontId="8" fillId="0" borderId="0" xfId="5" applyNumberFormat="1" applyFont="1" applyAlignment="1" applyProtection="1">
      <alignment horizontal="center"/>
    </xf>
    <xf numFmtId="173" fontId="15" fillId="0" borderId="0" xfId="4" applyNumberFormat="1" applyFont="1" applyFill="1" applyBorder="1" applyAlignment="1" applyProtection="1">
      <alignment horizontal="center" vertical="center"/>
    </xf>
    <xf numFmtId="175" fontId="15" fillId="0" borderId="0" xfId="6" applyNumberFormat="1" applyBorder="1" applyAlignment="1" applyProtection="1">
      <alignment horizontal="center" vertical="center"/>
    </xf>
    <xf numFmtId="172" fontId="4" fillId="0" borderId="0" xfId="2" applyNumberFormat="1" applyFont="1" applyAlignment="1">
      <alignment horizontal="left" indent="1"/>
    </xf>
    <xf numFmtId="176" fontId="15" fillId="0" borderId="0" xfId="6" applyNumberFormat="1" applyBorder="1" applyAlignment="1" applyProtection="1">
      <alignment horizontal="center" vertical="center"/>
    </xf>
    <xf numFmtId="177" fontId="4" fillId="0" borderId="0" xfId="2" applyNumberFormat="1" applyFont="1"/>
    <xf numFmtId="172" fontId="12" fillId="0" borderId="0" xfId="2" applyNumberFormat="1" applyFont="1" applyAlignment="1">
      <alignment horizontal="center"/>
    </xf>
    <xf numFmtId="178" fontId="10" fillId="0" borderId="0" xfId="6" applyNumberFormat="1" applyFont="1" applyBorder="1" applyAlignment="1" applyProtection="1">
      <alignment horizontal="center" vertical="center"/>
    </xf>
    <xf numFmtId="165" fontId="4" fillId="0" borderId="0" xfId="2" applyNumberFormat="1" applyFont="1" applyAlignment="1">
      <alignment horizontal="center"/>
    </xf>
    <xf numFmtId="0" fontId="13" fillId="2" borderId="7" xfId="2" applyFont="1" applyFill="1" applyBorder="1"/>
    <xf numFmtId="165" fontId="14" fillId="3" borderId="8" xfId="2" applyNumberFormat="1" applyFont="1" applyFill="1" applyBorder="1" applyAlignment="1" applyProtection="1">
      <alignment horizontal="center"/>
      <protection locked="0"/>
    </xf>
    <xf numFmtId="172" fontId="14" fillId="8" borderId="8" xfId="2" applyNumberFormat="1" applyFont="1" applyFill="1" applyBorder="1" applyAlignment="1" applyProtection="1">
      <alignment horizontal="center"/>
      <protection locked="0"/>
    </xf>
    <xf numFmtId="165" fontId="16" fillId="0" borderId="0" xfId="3" applyNumberFormat="1" applyFont="1" applyFill="1" applyAlignment="1" applyProtection="1">
      <alignment horizontal="center"/>
    </xf>
    <xf numFmtId="172" fontId="4" fillId="7" borderId="3" xfId="4" applyNumberFormat="1" applyFont="1" applyFill="1" applyBorder="1" applyAlignment="1" applyProtection="1">
      <alignment horizontal="center"/>
      <protection locked="0"/>
    </xf>
    <xf numFmtId="179" fontId="4" fillId="0" borderId="0" xfId="2" applyNumberFormat="1" applyFont="1" applyAlignment="1">
      <alignment horizontal="center"/>
    </xf>
    <xf numFmtId="172" fontId="8" fillId="0" borderId="0" xfId="2" applyNumberFormat="1" applyFont="1" applyAlignment="1">
      <alignment horizontal="center"/>
    </xf>
    <xf numFmtId="179" fontId="12" fillId="0" borderId="0" xfId="2" applyNumberFormat="1" applyFont="1" applyAlignment="1">
      <alignment horizontal="center"/>
    </xf>
    <xf numFmtId="165" fontId="4" fillId="0" borderId="0" xfId="2" applyNumberFormat="1" applyFont="1" applyAlignment="1">
      <alignment horizontal="left" indent="2"/>
    </xf>
    <xf numFmtId="180" fontId="4" fillId="0" borderId="0" xfId="2" applyNumberFormat="1" applyFont="1" applyAlignment="1">
      <alignment horizontal="center"/>
    </xf>
    <xf numFmtId="165" fontId="12" fillId="0" borderId="9" xfId="2" applyNumberFormat="1" applyFont="1" applyBorder="1" applyAlignment="1">
      <alignment horizontal="left" indent="1"/>
    </xf>
    <xf numFmtId="165" fontId="11" fillId="0" borderId="9" xfId="2" applyNumberFormat="1" applyFont="1" applyBorder="1" applyAlignment="1">
      <alignment horizontal="center"/>
    </xf>
    <xf numFmtId="172" fontId="11" fillId="0" borderId="0" xfId="2" applyNumberFormat="1" applyFont="1" applyAlignment="1">
      <alignment horizontal="center"/>
    </xf>
    <xf numFmtId="180" fontId="12" fillId="0" borderId="0" xfId="2" applyNumberFormat="1" applyFont="1" applyAlignment="1">
      <alignment horizontal="center"/>
    </xf>
    <xf numFmtId="2" fontId="4" fillId="0" borderId="0" xfId="2" applyNumberFormat="1" applyFont="1" applyAlignment="1">
      <alignment horizontal="center"/>
    </xf>
    <xf numFmtId="2" fontId="12" fillId="0" borderId="0" xfId="2" applyNumberFormat="1" applyFont="1" applyAlignment="1">
      <alignment horizontal="center"/>
    </xf>
    <xf numFmtId="2" fontId="4" fillId="7" borderId="0" xfId="2" applyNumberFormat="1" applyFont="1" applyFill="1" applyAlignment="1" applyProtection="1">
      <alignment horizontal="center"/>
      <protection locked="0"/>
    </xf>
    <xf numFmtId="172" fontId="14" fillId="8" borderId="8" xfId="0" applyNumberFormat="1" applyFont="1" applyFill="1" applyBorder="1" applyAlignment="1" applyProtection="1">
      <alignment horizontal="center"/>
      <protection locked="0"/>
    </xf>
    <xf numFmtId="0" fontId="7" fillId="2" borderId="0" xfId="2" applyFont="1" applyFill="1" applyAlignment="1">
      <alignment horizontal="left"/>
    </xf>
    <xf numFmtId="0" fontId="7" fillId="2" borderId="0" xfId="2" applyFont="1" applyFill="1" applyAlignment="1">
      <alignment horizontal="left" indent="9"/>
    </xf>
    <xf numFmtId="0" fontId="2" fillId="5" borderId="9" xfId="2" applyFill="1" applyBorder="1" applyAlignment="1">
      <alignment wrapText="1"/>
    </xf>
    <xf numFmtId="0" fontId="2" fillId="5" borderId="9" xfId="2" applyFill="1" applyBorder="1"/>
    <xf numFmtId="0" fontId="2" fillId="0" borderId="9" xfId="2" applyBorder="1"/>
    <xf numFmtId="165" fontId="8" fillId="5" borderId="0" xfId="2" applyNumberFormat="1" applyFont="1" applyFill="1"/>
    <xf numFmtId="165" fontId="8" fillId="0" borderId="0" xfId="2" applyNumberFormat="1" applyFont="1"/>
    <xf numFmtId="165" fontId="2" fillId="0" borderId="0" xfId="2" applyNumberFormat="1"/>
    <xf numFmtId="172" fontId="4" fillId="0" borderId="3" xfId="2" applyNumberFormat="1" applyFont="1" applyBorder="1" applyAlignment="1" applyProtection="1">
      <alignment horizontal="center"/>
      <protection locked="0"/>
    </xf>
    <xf numFmtId="0" fontId="4" fillId="0" borderId="3" xfId="2" applyFont="1" applyBorder="1" applyAlignment="1" applyProtection="1">
      <alignment horizontal="center"/>
      <protection locked="0"/>
    </xf>
    <xf numFmtId="1" fontId="4" fillId="0" borderId="3" xfId="2" applyNumberFormat="1" applyFont="1" applyBorder="1" applyAlignment="1" applyProtection="1">
      <alignment horizontal="center"/>
      <protection locked="0"/>
    </xf>
    <xf numFmtId="1" fontId="4" fillId="0" borderId="0" xfId="2" applyNumberFormat="1" applyFont="1" applyAlignment="1" applyProtection="1">
      <alignment horizontal="center"/>
      <protection locked="0"/>
    </xf>
    <xf numFmtId="172" fontId="4" fillId="0" borderId="0" xfId="2" applyNumberFormat="1" applyFont="1" applyAlignment="1" applyProtection="1">
      <alignment horizontal="center"/>
      <protection locked="0"/>
    </xf>
    <xf numFmtId="0" fontId="0" fillId="2" borderId="0" xfId="0" applyFill="1" applyAlignment="1">
      <alignment horizontal="right"/>
    </xf>
    <xf numFmtId="0" fontId="4" fillId="3" borderId="0" xfId="0" applyFont="1" applyFill="1" applyAlignment="1">
      <alignment horizontal="center"/>
    </xf>
    <xf numFmtId="0" fontId="4" fillId="4" borderId="0" xfId="0" applyFont="1" applyFill="1"/>
    <xf numFmtId="0" fontId="18" fillId="6" borderId="2" xfId="2" applyFont="1" applyFill="1" applyBorder="1"/>
    <xf numFmtId="165" fontId="12" fillId="0" borderId="5" xfId="2" applyNumberFormat="1" applyFont="1" applyBorder="1"/>
    <xf numFmtId="165" fontId="4" fillId="0" borderId="5" xfId="2" applyNumberFormat="1" applyFont="1" applyBorder="1"/>
    <xf numFmtId="165" fontId="19" fillId="0" borderId="0" xfId="3" applyNumberFormat="1" applyFont="1" applyAlignment="1" applyProtection="1">
      <alignment horizontal="center"/>
    </xf>
    <xf numFmtId="181" fontId="4" fillId="0" borderId="0" xfId="4" applyNumberFormat="1" applyFont="1" applyFill="1" applyBorder="1" applyAlignment="1" applyProtection="1">
      <alignment horizontal="center"/>
    </xf>
    <xf numFmtId="181" fontId="4" fillId="0" borderId="0" xfId="4" quotePrefix="1" applyNumberFormat="1" applyFont="1" applyFill="1" applyBorder="1" applyAlignment="1" applyProtection="1">
      <alignment horizontal="center"/>
    </xf>
    <xf numFmtId="182" fontId="4" fillId="0" borderId="0" xfId="2" applyNumberFormat="1" applyFont="1" applyProtection="1">
      <protection locked="0"/>
    </xf>
    <xf numFmtId="165" fontId="8" fillId="0" borderId="5" xfId="2" applyNumberFormat="1" applyFont="1" applyBorder="1" applyAlignment="1">
      <alignment horizontal="center"/>
    </xf>
    <xf numFmtId="165" fontId="12" fillId="0" borderId="0" xfId="2" applyNumberFormat="1" applyFont="1" applyAlignment="1">
      <alignment horizontal="left" indent="1"/>
    </xf>
    <xf numFmtId="178" fontId="15" fillId="0" borderId="0" xfId="6" applyNumberFormat="1" applyBorder="1" applyAlignment="1" applyProtection="1">
      <alignment horizontal="center" vertical="center"/>
    </xf>
    <xf numFmtId="172" fontId="4" fillId="0" borderId="0" xfId="2" applyNumberFormat="1" applyFont="1" applyAlignment="1">
      <alignment horizontal="center"/>
    </xf>
    <xf numFmtId="3" fontId="4" fillId="0" borderId="0" xfId="2" applyNumberFormat="1" applyFont="1" applyAlignment="1">
      <alignment horizontal="right"/>
    </xf>
    <xf numFmtId="180" fontId="4" fillId="0" borderId="0" xfId="2" applyNumberFormat="1" applyFont="1" applyAlignment="1">
      <alignment horizontal="right"/>
    </xf>
    <xf numFmtId="3" fontId="4" fillId="7" borderId="0" xfId="2" applyNumberFormat="1" applyFont="1" applyFill="1" applyAlignment="1" applyProtection="1">
      <alignment horizontal="right"/>
      <protection locked="0"/>
    </xf>
    <xf numFmtId="172" fontId="12" fillId="0" borderId="0" xfId="2" applyNumberFormat="1" applyFont="1" applyAlignment="1">
      <alignment horizontal="right"/>
    </xf>
    <xf numFmtId="3" fontId="15" fillId="0" borderId="0" xfId="2" applyNumberFormat="1" applyFont="1" applyAlignment="1" applyProtection="1">
      <alignment horizontal="right"/>
      <protection locked="0"/>
    </xf>
    <xf numFmtId="3" fontId="12" fillId="0" borderId="0" xfId="2" applyNumberFormat="1" applyFont="1" applyAlignment="1">
      <alignment horizontal="right"/>
    </xf>
    <xf numFmtId="3" fontId="4" fillId="7" borderId="5" xfId="2" applyNumberFormat="1" applyFont="1" applyFill="1" applyBorder="1" applyAlignment="1" applyProtection="1">
      <alignment horizontal="right"/>
      <protection locked="0"/>
    </xf>
    <xf numFmtId="2" fontId="4" fillId="0" borderId="0" xfId="2" applyNumberFormat="1" applyFont="1" applyAlignment="1">
      <alignment horizontal="right"/>
    </xf>
    <xf numFmtId="172" fontId="12" fillId="0" borderId="0" xfId="2" applyNumberFormat="1" applyFont="1"/>
    <xf numFmtId="2" fontId="4" fillId="7" borderId="0" xfId="2" applyNumberFormat="1" applyFont="1" applyFill="1" applyAlignment="1">
      <alignment horizontal="right"/>
    </xf>
    <xf numFmtId="165" fontId="12" fillId="0" borderId="0" xfId="2" applyNumberFormat="1" applyFont="1" applyAlignment="1">
      <alignment horizontal="left"/>
    </xf>
    <xf numFmtId="180" fontId="12" fillId="0" borderId="0" xfId="2" applyNumberFormat="1" applyFont="1" applyAlignment="1">
      <alignment horizontal="left"/>
    </xf>
    <xf numFmtId="180" fontId="12" fillId="0" borderId="0" xfId="2" applyNumberFormat="1" applyFont="1" applyAlignment="1">
      <alignment horizontal="right"/>
    </xf>
    <xf numFmtId="9" fontId="4" fillId="7" borderId="0" xfId="1" applyFont="1" applyFill="1" applyAlignment="1" applyProtection="1">
      <alignment horizontal="right"/>
      <protection locked="0"/>
    </xf>
    <xf numFmtId="3" fontId="4" fillId="0" borderId="0" xfId="2" applyNumberFormat="1" applyFont="1" applyAlignment="1" applyProtection="1">
      <alignment horizontal="right"/>
      <protection locked="0"/>
    </xf>
    <xf numFmtId="10" fontId="4" fillId="7" borderId="0" xfId="1" applyNumberFormat="1" applyFont="1" applyFill="1" applyAlignment="1" applyProtection="1">
      <alignment horizontal="right"/>
      <protection locked="0"/>
    </xf>
    <xf numFmtId="10" fontId="12" fillId="0" borderId="0" xfId="1" applyNumberFormat="1" applyFont="1" applyAlignment="1">
      <alignment horizontal="right"/>
    </xf>
    <xf numFmtId="165" fontId="11" fillId="0" borderId="0" xfId="2" applyNumberFormat="1" applyFont="1"/>
    <xf numFmtId="172" fontId="12" fillId="7" borderId="3" xfId="4" applyNumberFormat="1" applyFont="1" applyFill="1" applyBorder="1" applyAlignment="1" applyProtection="1">
      <alignment horizontal="center"/>
      <protection locked="0"/>
    </xf>
    <xf numFmtId="184" fontId="4" fillId="7" borderId="0" xfId="1" applyNumberFormat="1" applyFont="1" applyFill="1" applyAlignment="1">
      <alignment horizontal="center"/>
    </xf>
    <xf numFmtId="184" fontId="4" fillId="7" borderId="0" xfId="1" applyNumberFormat="1" applyFont="1" applyFill="1" applyAlignment="1">
      <alignment horizontal="right"/>
    </xf>
    <xf numFmtId="9" fontId="4" fillId="7" borderId="0" xfId="1" applyFont="1" applyFill="1" applyAlignment="1">
      <alignment horizontal="right"/>
    </xf>
    <xf numFmtId="185" fontId="4" fillId="0" borderId="0" xfId="2" applyNumberFormat="1" applyFont="1" applyAlignment="1">
      <alignment horizontal="right"/>
    </xf>
    <xf numFmtId="165" fontId="12" fillId="0" borderId="0" xfId="2" applyNumberFormat="1" applyFont="1" applyAlignment="1">
      <alignment horizontal="right"/>
    </xf>
    <xf numFmtId="2" fontId="4" fillId="7" borderId="0" xfId="2" applyNumberFormat="1" applyFont="1" applyFill="1" applyAlignment="1" applyProtection="1">
      <alignment horizontal="right"/>
      <protection locked="0"/>
    </xf>
    <xf numFmtId="0" fontId="20" fillId="2" borderId="0" xfId="2" applyFont="1" applyFill="1"/>
    <xf numFmtId="0" fontId="4" fillId="10" borderId="0" xfId="2" applyFont="1" applyFill="1"/>
    <xf numFmtId="164" fontId="5" fillId="2" borderId="0" xfId="2" applyNumberFormat="1" applyFont="1" applyFill="1" applyAlignment="1">
      <alignment horizontal="center"/>
    </xf>
    <xf numFmtId="0" fontId="6" fillId="2" borderId="0" xfId="3" applyFill="1" applyBorder="1" applyAlignment="1" applyProtection="1">
      <alignment horizontal="right"/>
    </xf>
    <xf numFmtId="164" fontId="10" fillId="0" borderId="3" xfId="2" applyNumberFormat="1" applyFont="1" applyBorder="1" applyAlignment="1">
      <alignment horizontal="center"/>
    </xf>
    <xf numFmtId="170" fontId="4" fillId="0" borderId="0" xfId="2" applyNumberFormat="1" applyFont="1" applyAlignment="1" applyProtection="1">
      <alignment horizontal="center"/>
      <protection locked="0"/>
    </xf>
    <xf numFmtId="170" fontId="15" fillId="7" borderId="3" xfId="2" applyNumberFormat="1" applyFont="1" applyFill="1" applyBorder="1" applyAlignment="1" applyProtection="1">
      <alignment horizontal="center"/>
      <protection locked="0"/>
    </xf>
    <xf numFmtId="171" fontId="6" fillId="0" borderId="0" xfId="3" applyNumberFormat="1" applyProtection="1">
      <protection locked="0"/>
    </xf>
    <xf numFmtId="170" fontId="2" fillId="7" borderId="3" xfId="2" applyNumberFormat="1" applyFill="1" applyBorder="1" applyAlignment="1" applyProtection="1">
      <alignment horizontal="center"/>
      <protection locked="0"/>
    </xf>
    <xf numFmtId="171" fontId="21" fillId="0" borderId="0" xfId="2" applyNumberFormat="1" applyFont="1" applyProtection="1">
      <protection locked="0"/>
    </xf>
    <xf numFmtId="10" fontId="4" fillId="0" borderId="0" xfId="4" applyNumberFormat="1" applyFont="1" applyFill="1" applyBorder="1" applyAlignment="1" applyProtection="1">
      <alignment horizontal="center"/>
      <protection locked="0"/>
    </xf>
    <xf numFmtId="164" fontId="10" fillId="0" borderId="0" xfId="2" applyNumberFormat="1" applyFont="1" applyAlignment="1">
      <alignment horizontal="center"/>
    </xf>
    <xf numFmtId="10" fontId="4" fillId="0" borderId="0" xfId="1" applyNumberFormat="1" applyFont="1" applyAlignment="1" applyProtection="1">
      <alignment horizontal="center"/>
      <protection locked="0"/>
    </xf>
    <xf numFmtId="165" fontId="22" fillId="0" borderId="0" xfId="3" applyNumberFormat="1" applyFont="1" applyFill="1" applyAlignment="1" applyProtection="1">
      <alignment horizontal="center"/>
    </xf>
    <xf numFmtId="0" fontId="4" fillId="0" borderId="3" xfId="2" quotePrefix="1" applyFont="1" applyBorder="1" applyAlignment="1" applyProtection="1">
      <alignment horizontal="center"/>
      <protection locked="0"/>
    </xf>
    <xf numFmtId="172" fontId="4" fillId="0" borderId="3" xfId="2" quotePrefix="1" applyNumberFormat="1" applyFont="1" applyBorder="1" applyAlignment="1" applyProtection="1">
      <alignment horizontal="center"/>
      <protection locked="0"/>
    </xf>
    <xf numFmtId="165" fontId="8" fillId="0" borderId="0" xfId="0" applyNumberFormat="1" applyFont="1"/>
    <xf numFmtId="0" fontId="2" fillId="0" borderId="0" xfId="0" applyFont="1"/>
    <xf numFmtId="0" fontId="23" fillId="0" borderId="0" xfId="8"/>
    <xf numFmtId="171" fontId="15" fillId="0" borderId="0" xfId="2" applyNumberFormat="1" applyFont="1" applyProtection="1">
      <protection locked="0"/>
    </xf>
    <xf numFmtId="172" fontId="12" fillId="0" borderId="0" xfId="0" quotePrefix="1" applyNumberFormat="1" applyFont="1" applyAlignment="1">
      <alignment horizontal="center"/>
    </xf>
    <xf numFmtId="10" fontId="4" fillId="0" borderId="0" xfId="0" applyNumberFormat="1" applyFont="1" applyAlignment="1" applyProtection="1">
      <alignment horizontal="center"/>
      <protection locked="0"/>
    </xf>
    <xf numFmtId="186" fontId="4" fillId="0" borderId="0" xfId="2" applyNumberFormat="1" applyFont="1" applyAlignment="1">
      <alignment horizontal="right"/>
    </xf>
    <xf numFmtId="187" fontId="4" fillId="0" borderId="0" xfId="2" applyNumberFormat="1" applyFont="1" applyAlignment="1">
      <alignment horizontal="center"/>
    </xf>
    <xf numFmtId="0" fontId="24" fillId="0" borderId="0" xfId="0" applyFont="1"/>
    <xf numFmtId="0" fontId="25" fillId="0" borderId="0" xfId="0" applyFont="1"/>
    <xf numFmtId="0" fontId="27" fillId="12" borderId="11" xfId="0" applyFont="1" applyFill="1" applyBorder="1" applyAlignment="1">
      <alignment horizontal="center" vertical="top" wrapText="1"/>
    </xf>
    <xf numFmtId="0" fontId="25" fillId="0" borderId="0" xfId="0" applyFont="1" applyAlignment="1">
      <alignment vertical="top" wrapText="1"/>
    </xf>
    <xf numFmtId="0" fontId="25" fillId="0" borderId="12" xfId="0" applyFont="1" applyBorder="1" applyAlignment="1">
      <alignment vertical="top" wrapText="1"/>
    </xf>
    <xf numFmtId="188" fontId="25" fillId="0" borderId="14" xfId="0" applyNumberFormat="1" applyFont="1" applyBorder="1" applyAlignment="1">
      <alignment vertical="top"/>
    </xf>
    <xf numFmtId="9" fontId="25" fillId="0" borderId="0" xfId="1" applyFont="1" applyBorder="1" applyAlignment="1">
      <alignment vertical="top"/>
    </xf>
    <xf numFmtId="188" fontId="25" fillId="0" borderId="0" xfId="0" applyNumberFormat="1" applyFont="1" applyAlignment="1">
      <alignment vertical="top"/>
    </xf>
    <xf numFmtId="9" fontId="25" fillId="0" borderId="15" xfId="1" applyFont="1" applyBorder="1" applyAlignment="1">
      <alignment vertical="top"/>
    </xf>
    <xf numFmtId="9" fontId="25" fillId="0" borderId="0" xfId="1" applyFont="1"/>
    <xf numFmtId="0" fontId="25" fillId="0" borderId="13" xfId="0" applyFont="1" applyBorder="1" applyAlignment="1">
      <alignment vertical="top" wrapText="1"/>
    </xf>
    <xf numFmtId="188" fontId="25" fillId="0" borderId="16" xfId="0" applyNumberFormat="1" applyFont="1" applyBorder="1" applyAlignment="1">
      <alignment vertical="top"/>
    </xf>
    <xf numFmtId="9" fontId="25" fillId="0" borderId="5" xfId="1" applyFont="1" applyBorder="1" applyAlignment="1">
      <alignment vertical="top"/>
    </xf>
    <xf numFmtId="9" fontId="25" fillId="0" borderId="17" xfId="1" applyFont="1" applyBorder="1" applyAlignment="1">
      <alignment vertical="top"/>
    </xf>
    <xf numFmtId="9" fontId="25" fillId="0" borderId="0" xfId="0" applyNumberFormat="1" applyFont="1"/>
    <xf numFmtId="0" fontId="28" fillId="0" borderId="12" xfId="0" applyFont="1" applyBorder="1" applyAlignment="1">
      <alignment vertical="top" wrapText="1"/>
    </xf>
    <xf numFmtId="188" fontId="28" fillId="0" borderId="14" xfId="0" applyNumberFormat="1" applyFont="1" applyBorder="1" applyAlignment="1">
      <alignment vertical="top"/>
    </xf>
    <xf numFmtId="9" fontId="28" fillId="0" borderId="0" xfId="1" applyFont="1" applyBorder="1" applyAlignment="1">
      <alignment vertical="top"/>
    </xf>
    <xf numFmtId="188" fontId="28" fillId="0" borderId="9" xfId="0" applyNumberFormat="1" applyFont="1" applyBorder="1" applyAlignment="1">
      <alignment vertical="top"/>
    </xf>
    <xf numFmtId="9" fontId="28" fillId="0" borderId="15" xfId="1" applyFont="1" applyBorder="1" applyAlignment="1">
      <alignment vertical="top"/>
    </xf>
    <xf numFmtId="10" fontId="28" fillId="0" borderId="0" xfId="1" applyNumberFormat="1" applyFont="1" applyBorder="1" applyAlignment="1">
      <alignment vertical="top"/>
    </xf>
    <xf numFmtId="10" fontId="28" fillId="0" borderId="15" xfId="1" applyNumberFormat="1" applyFont="1" applyBorder="1" applyAlignment="1">
      <alignment vertical="top"/>
    </xf>
    <xf numFmtId="188" fontId="25" fillId="0" borderId="5" xfId="0" applyNumberFormat="1" applyFont="1" applyBorder="1" applyAlignment="1">
      <alignment vertical="top"/>
    </xf>
    <xf numFmtId="188" fontId="28" fillId="0" borderId="0" xfId="0" applyNumberFormat="1" applyFont="1" applyAlignment="1">
      <alignment vertical="top"/>
    </xf>
    <xf numFmtId="0" fontId="28" fillId="0" borderId="11" xfId="0" applyFont="1" applyBorder="1" applyAlignment="1">
      <alignment vertical="top" wrapText="1"/>
    </xf>
    <xf numFmtId="188" fontId="28" fillId="0" borderId="18" xfId="0" applyNumberFormat="1" applyFont="1" applyBorder="1" applyAlignment="1">
      <alignment vertical="top"/>
    </xf>
    <xf numFmtId="9" fontId="28" fillId="0" borderId="2" xfId="1" applyFont="1" applyBorder="1" applyAlignment="1">
      <alignment vertical="top"/>
    </xf>
    <xf numFmtId="188" fontId="28" fillId="0" borderId="2" xfId="0" applyNumberFormat="1" applyFont="1" applyBorder="1" applyAlignment="1">
      <alignment vertical="top"/>
    </xf>
    <xf numFmtId="9" fontId="28" fillId="0" borderId="19" xfId="1" applyFont="1" applyBorder="1" applyAlignment="1">
      <alignment vertical="top"/>
    </xf>
    <xf numFmtId="184" fontId="25" fillId="0" borderId="0" xfId="0" applyNumberFormat="1" applyFont="1"/>
    <xf numFmtId="188" fontId="25" fillId="0" borderId="0" xfId="0" applyNumberFormat="1" applyFont="1"/>
    <xf numFmtId="184" fontId="25" fillId="0" borderId="0" xfId="1" applyNumberFormat="1" applyFont="1"/>
    <xf numFmtId="0" fontId="30" fillId="0" borderId="0" xfId="0" applyFont="1"/>
    <xf numFmtId="3" fontId="4" fillId="13" borderId="0" xfId="2" applyNumberFormat="1" applyFont="1" applyFill="1" applyAlignment="1" applyProtection="1">
      <alignment horizontal="right"/>
      <protection locked="0"/>
    </xf>
    <xf numFmtId="3" fontId="4" fillId="13" borderId="5" xfId="2" applyNumberFormat="1" applyFont="1" applyFill="1" applyBorder="1" applyAlignment="1" applyProtection="1">
      <alignment horizontal="right"/>
      <protection locked="0"/>
    </xf>
    <xf numFmtId="3" fontId="4" fillId="13" borderId="0" xfId="2" applyNumberFormat="1" applyFont="1" applyFill="1" applyAlignment="1">
      <alignment horizontal="right"/>
    </xf>
    <xf numFmtId="3" fontId="15" fillId="13" borderId="0" xfId="2" applyNumberFormat="1" applyFont="1" applyFill="1" applyAlignment="1" applyProtection="1">
      <alignment horizontal="right"/>
      <protection locked="0"/>
    </xf>
    <xf numFmtId="3" fontId="4" fillId="13" borderId="5" xfId="2" applyNumberFormat="1" applyFont="1" applyFill="1" applyBorder="1" applyAlignment="1">
      <alignment horizontal="right"/>
    </xf>
    <xf numFmtId="183" fontId="4" fillId="13" borderId="0" xfId="2" applyNumberFormat="1" applyFont="1" applyFill="1" applyAlignment="1">
      <alignment horizontal="right"/>
    </xf>
    <xf numFmtId="180" fontId="4" fillId="13" borderId="0" xfId="2" applyNumberFormat="1" applyFont="1" applyFill="1" applyAlignment="1">
      <alignment horizontal="center"/>
    </xf>
    <xf numFmtId="1" fontId="4" fillId="13" borderId="0" xfId="2" applyNumberFormat="1" applyFont="1" applyFill="1" applyAlignment="1">
      <alignment horizontal="right"/>
    </xf>
    <xf numFmtId="165" fontId="4" fillId="13" borderId="0" xfId="2" applyNumberFormat="1" applyFont="1" applyFill="1" applyAlignment="1">
      <alignment horizontal="center"/>
    </xf>
    <xf numFmtId="189" fontId="29" fillId="0" borderId="0" xfId="0" applyNumberFormat="1" applyFont="1" applyAlignment="1">
      <alignment horizontal="left" vertical="center"/>
    </xf>
    <xf numFmtId="0" fontId="31" fillId="0" borderId="0" xfId="0" applyFont="1" applyAlignment="1">
      <alignment horizontal="left" vertical="top" wrapText="1"/>
    </xf>
    <xf numFmtId="0" fontId="13" fillId="2" borderId="7" xfId="2" applyFont="1" applyFill="1" applyBorder="1" applyAlignment="1">
      <alignment horizontal="center"/>
    </xf>
    <xf numFmtId="165" fontId="12" fillId="0" borderId="0" xfId="2" applyNumberFormat="1" applyFont="1" applyAlignment="1">
      <alignment horizontal="center"/>
    </xf>
    <xf numFmtId="49" fontId="25" fillId="0" borderId="10" xfId="0" quotePrefix="1" applyNumberFormat="1" applyFont="1" applyBorder="1" applyAlignment="1">
      <alignment horizontal="left" vertical="top" wrapText="1"/>
    </xf>
    <xf numFmtId="49" fontId="25" fillId="0" borderId="12" xfId="0" quotePrefix="1" applyNumberFormat="1" applyFont="1" applyBorder="1" applyAlignment="1">
      <alignment horizontal="left" vertical="top" wrapText="1"/>
    </xf>
    <xf numFmtId="49" fontId="25" fillId="0" borderId="13" xfId="0" quotePrefix="1" applyNumberFormat="1" applyFont="1" applyBorder="1" applyAlignment="1">
      <alignment horizontal="left" vertical="top" wrapText="1"/>
    </xf>
    <xf numFmtId="0" fontId="27" fillId="12" borderId="11" xfId="0" applyFont="1" applyFill="1" applyBorder="1" applyAlignment="1">
      <alignment horizontal="center" vertical="top" wrapText="1"/>
    </xf>
    <xf numFmtId="0" fontId="26" fillId="11" borderId="11" xfId="0" applyFont="1" applyFill="1" applyBorder="1" applyAlignment="1">
      <alignment horizontal="center"/>
    </xf>
    <xf numFmtId="0" fontId="26" fillId="11" borderId="10" xfId="0" applyFont="1" applyFill="1" applyBorder="1" applyAlignment="1">
      <alignment horizontal="left" vertical="top" wrapText="1"/>
    </xf>
    <xf numFmtId="0" fontId="26" fillId="11" borderId="12" xfId="0" applyFont="1" applyFill="1" applyBorder="1" applyAlignment="1">
      <alignment horizontal="left" vertical="top" wrapText="1"/>
    </xf>
    <xf numFmtId="0" fontId="26" fillId="11" borderId="13" xfId="0" applyFont="1" applyFill="1" applyBorder="1" applyAlignment="1">
      <alignment horizontal="left" vertical="top" wrapText="1"/>
    </xf>
  </cellXfs>
  <cellStyles count="9">
    <cellStyle name="Assumptions Right Number" xfId="6" xr:uid="{E9E8A6FD-FB04-4859-9F06-71265B4D5485}"/>
    <cellStyle name="Comma 2" xfId="5" xr:uid="{DDDFA052-4744-498B-A090-FA03FDD56111}"/>
    <cellStyle name="Hyperlink" xfId="8" builtinId="8"/>
    <cellStyle name="Hyperlink 2" xfId="3" xr:uid="{BFB87E77-F23D-4B88-85F7-4CB7C01354DC}"/>
    <cellStyle name="Normal" xfId="0" builtinId="0"/>
    <cellStyle name="Normal 2" xfId="2" xr:uid="{4A403F20-3DE3-45F2-AEA9-B2AEAA90E6A3}"/>
    <cellStyle name="Percent" xfId="1" builtinId="5"/>
    <cellStyle name="Percent 2" xfId="4" xr:uid="{AD5BCFD9-8CD3-409F-B17D-51C97B950A5D}"/>
    <cellStyle name="Sub Header" xfId="7" xr:uid="{670481B5-456B-4C24-93DC-C2E5D14F5C59}"/>
  </cellStyles>
  <dxfs count="46">
    <dxf>
      <fill>
        <patternFill>
          <bgColor indexed="43"/>
        </patternFill>
      </fill>
    </dxf>
    <dxf>
      <fill>
        <patternFill>
          <bgColor indexed="43"/>
        </patternFill>
      </fill>
    </dxf>
    <dxf>
      <fill>
        <patternFill>
          <bgColor indexed="43"/>
        </patternFill>
      </fill>
    </dxf>
    <dxf>
      <fill>
        <patternFill>
          <bgColor indexed="43"/>
        </patternFill>
      </fill>
    </dxf>
    <dxf>
      <border>
        <bottom style="thin">
          <color auto="1"/>
        </bottom>
        <vertical/>
        <horizontal/>
      </border>
    </dxf>
    <dxf>
      <fill>
        <patternFill>
          <bgColor rgb="FFCCFFCC"/>
        </patternFill>
      </fill>
      <border>
        <left style="hair">
          <color auto="1"/>
        </left>
        <right style="hair">
          <color auto="1"/>
        </right>
        <top style="hair">
          <color auto="1"/>
        </top>
        <bottom style="hair">
          <color auto="1"/>
        </bottom>
        <vertical/>
        <horizontal/>
      </border>
    </dxf>
    <dxf>
      <font>
        <strike val="0"/>
        <color theme="0"/>
      </font>
    </dxf>
    <dxf>
      <font>
        <strike val="0"/>
        <color rgb="FFCCFFCC"/>
      </font>
    </dxf>
    <dxf>
      <fill>
        <patternFill>
          <bgColor rgb="FFCCFFCC"/>
        </patternFill>
      </fill>
      <border>
        <left style="hair">
          <color auto="1"/>
        </left>
        <right style="hair">
          <color auto="1"/>
        </right>
        <top style="hair">
          <color auto="1"/>
        </top>
        <bottom style="hair">
          <color auto="1"/>
        </bottom>
        <vertical/>
        <horizontal/>
      </border>
    </dxf>
    <dxf>
      <font>
        <strike val="0"/>
        <color theme="0"/>
      </font>
    </dxf>
    <dxf>
      <font>
        <strike val="0"/>
        <color rgb="FFCCFFCC"/>
      </font>
    </dxf>
    <dxf>
      <border>
        <bottom style="thin">
          <color auto="1"/>
        </bottom>
        <vertical/>
        <horizontal/>
      </border>
    </dxf>
    <dxf>
      <fill>
        <patternFill>
          <bgColor rgb="FFCCFFCC"/>
        </patternFill>
      </fill>
      <border>
        <left style="hair">
          <color auto="1"/>
        </left>
        <right style="hair">
          <color auto="1"/>
        </right>
        <top style="hair">
          <color auto="1"/>
        </top>
        <bottom style="hair">
          <color auto="1"/>
        </bottom>
        <vertical/>
        <horizontal/>
      </border>
    </dxf>
    <dxf>
      <font>
        <strike val="0"/>
        <color theme="0"/>
      </font>
    </dxf>
    <dxf>
      <font>
        <strike val="0"/>
        <color rgb="FFCCFFCC"/>
      </font>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8" tint="0.79998168889431442"/>
        </patternFill>
      </fill>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CCFFCC"/>
      <color rgb="FF0000FF"/>
      <color rgb="FF3366FF"/>
      <color rgb="FF0066FF"/>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38</xdr:row>
      <xdr:rowOff>125189</xdr:rowOff>
    </xdr:from>
    <xdr:to>
      <xdr:col>8</xdr:col>
      <xdr:colOff>377825</xdr:colOff>
      <xdr:row>39</xdr:row>
      <xdr:rowOff>15875</xdr:rowOff>
    </xdr:to>
    <xdr:pic>
      <xdr:nvPicPr>
        <xdr:cNvPr id="2" name="image2.png">
          <a:extLst>
            <a:ext uri="{FF2B5EF4-FFF2-40B4-BE49-F238E27FC236}">
              <a16:creationId xmlns:a16="http://schemas.microsoft.com/office/drawing/2014/main" id="{93AFCB6F-9F61-4281-AE2E-2F3AD6EB92F8}"/>
            </a:ext>
          </a:extLst>
        </xdr:cNvPr>
        <xdr:cNvPicPr>
          <a:picLocks noChangeAspect="1"/>
        </xdr:cNvPicPr>
      </xdr:nvPicPr>
      <xdr:blipFill>
        <a:blip xmlns:r="http://schemas.openxmlformats.org/officeDocument/2006/relationships" r:embed="rId1" cstate="print"/>
        <a:stretch>
          <a:fillRect/>
        </a:stretch>
      </xdr:blipFill>
      <xdr:spPr>
        <a:xfrm>
          <a:off x="9525" y="7160989"/>
          <a:ext cx="4933950" cy="74836"/>
        </a:xfrm>
        <a:prstGeom prst="rect">
          <a:avLst/>
        </a:prstGeom>
      </xdr:spPr>
    </xdr:pic>
    <xdr:clientData/>
  </xdr:twoCellAnchor>
  <xdr:twoCellAnchor>
    <xdr:from>
      <xdr:col>6</xdr:col>
      <xdr:colOff>231140</xdr:colOff>
      <xdr:row>36</xdr:row>
      <xdr:rowOff>31115</xdr:rowOff>
    </xdr:from>
    <xdr:to>
      <xdr:col>8</xdr:col>
      <xdr:colOff>200660</xdr:colOff>
      <xdr:row>37</xdr:row>
      <xdr:rowOff>169545</xdr:rowOff>
    </xdr:to>
    <xdr:grpSp>
      <xdr:nvGrpSpPr>
        <xdr:cNvPr id="3" name="Group 2">
          <a:extLst>
            <a:ext uri="{FF2B5EF4-FFF2-40B4-BE49-F238E27FC236}">
              <a16:creationId xmlns:a16="http://schemas.microsoft.com/office/drawing/2014/main" id="{0209B261-81EC-4454-AD55-955EB56DA8DB}"/>
            </a:ext>
          </a:extLst>
        </xdr:cNvPr>
        <xdr:cNvGrpSpPr>
          <a:grpSpLocks/>
        </xdr:cNvGrpSpPr>
      </xdr:nvGrpSpPr>
      <xdr:grpSpPr bwMode="auto">
        <a:xfrm>
          <a:off x="3574415" y="6581140"/>
          <a:ext cx="1185545" cy="322580"/>
          <a:chOff x="8854" y="75"/>
          <a:chExt cx="1867" cy="513"/>
        </a:xfrm>
      </xdr:grpSpPr>
      <xdr:sp macro="" textlink="">
        <xdr:nvSpPr>
          <xdr:cNvPr id="4" name="AutoShape 22">
            <a:extLst>
              <a:ext uri="{FF2B5EF4-FFF2-40B4-BE49-F238E27FC236}">
                <a16:creationId xmlns:a16="http://schemas.microsoft.com/office/drawing/2014/main" id="{D592171D-091D-34F8-AD4E-906867C05691}"/>
              </a:ext>
            </a:extLst>
          </xdr:cNvPr>
          <xdr:cNvSpPr>
            <a:spLocks/>
          </xdr:cNvSpPr>
        </xdr:nvSpPr>
        <xdr:spPr bwMode="auto">
          <a:xfrm>
            <a:off x="9412" y="153"/>
            <a:ext cx="1309" cy="391"/>
          </a:xfrm>
          <a:custGeom>
            <a:avLst/>
            <a:gdLst>
              <a:gd name="T0" fmla="+- 0 9663 9412"/>
              <a:gd name="T1" fmla="*/ T0 w 1309"/>
              <a:gd name="T2" fmla="+- 0 391 154"/>
              <a:gd name="T3" fmla="*/ 391 h 391"/>
              <a:gd name="T4" fmla="+- 0 9504 9412"/>
              <a:gd name="T5" fmla="*/ T4 w 1309"/>
              <a:gd name="T6" fmla="+- 0 346 154"/>
              <a:gd name="T7" fmla="*/ 346 h 391"/>
              <a:gd name="T8" fmla="+- 0 9585 9412"/>
              <a:gd name="T9" fmla="*/ T8 w 1309"/>
              <a:gd name="T10" fmla="+- 0 188 154"/>
              <a:gd name="T11" fmla="*/ 188 h 391"/>
              <a:gd name="T12" fmla="+- 0 9413 9412"/>
              <a:gd name="T13" fmla="*/ T12 w 1309"/>
              <a:gd name="T14" fmla="+- 0 445 154"/>
              <a:gd name="T15" fmla="*/ 445 h 391"/>
              <a:gd name="T16" fmla="+- 0 9467 9412"/>
              <a:gd name="T17" fmla="*/ T16 w 1309"/>
              <a:gd name="T18" fmla="+- 0 452 154"/>
              <a:gd name="T19" fmla="*/ 452 h 391"/>
              <a:gd name="T20" fmla="+- 0 9625 9412"/>
              <a:gd name="T21" fmla="*/ T20 w 1309"/>
              <a:gd name="T22" fmla="+- 0 452 154"/>
              <a:gd name="T23" fmla="*/ 452 h 391"/>
              <a:gd name="T24" fmla="+- 0 9878 9412"/>
              <a:gd name="T25" fmla="*/ T24 w 1309"/>
              <a:gd name="T26" fmla="+- 0 255 154"/>
              <a:gd name="T27" fmla="*/ 255 h 391"/>
              <a:gd name="T28" fmla="+- 0 9816 9412"/>
              <a:gd name="T29" fmla="*/ T28 w 1309"/>
              <a:gd name="T30" fmla="+- 0 397 154"/>
              <a:gd name="T31" fmla="*/ 397 h 391"/>
              <a:gd name="T32" fmla="+- 0 9743 9412"/>
              <a:gd name="T33" fmla="*/ T32 w 1309"/>
              <a:gd name="T34" fmla="+- 0 383 154"/>
              <a:gd name="T35" fmla="*/ 383 h 391"/>
              <a:gd name="T36" fmla="+- 0 9688 9412"/>
              <a:gd name="T37" fmla="*/ T36 w 1309"/>
              <a:gd name="T38" fmla="+- 0 259 154"/>
              <a:gd name="T39" fmla="*/ 259 h 391"/>
              <a:gd name="T40" fmla="+- 0 9763 9412"/>
              <a:gd name="T41" fmla="*/ T40 w 1309"/>
              <a:gd name="T42" fmla="+- 0 460 154"/>
              <a:gd name="T43" fmla="*/ 460 h 391"/>
              <a:gd name="T44" fmla="+- 0 9831 9412"/>
              <a:gd name="T45" fmla="*/ T44 w 1309"/>
              <a:gd name="T46" fmla="+- 0 426 154"/>
              <a:gd name="T47" fmla="*/ 426 h 391"/>
              <a:gd name="T48" fmla="+- 0 9882 9412"/>
              <a:gd name="T49" fmla="*/ T48 w 1309"/>
              <a:gd name="T50" fmla="+- 0 259 154"/>
              <a:gd name="T51" fmla="*/ 259 h 391"/>
              <a:gd name="T52" fmla="+- 0 10000 9412"/>
              <a:gd name="T53" fmla="*/ T52 w 1309"/>
              <a:gd name="T54" fmla="+- 0 337 154"/>
              <a:gd name="T55" fmla="*/ 337 h 391"/>
              <a:gd name="T56" fmla="+- 0 9954 9412"/>
              <a:gd name="T57" fmla="*/ T56 w 1309"/>
              <a:gd name="T58" fmla="+- 0 295 154"/>
              <a:gd name="T59" fmla="*/ 295 h 391"/>
              <a:gd name="T60" fmla="+- 0 10016 9412"/>
              <a:gd name="T61" fmla="*/ T60 w 1309"/>
              <a:gd name="T62" fmla="+- 0 297 154"/>
              <a:gd name="T63" fmla="*/ 297 h 391"/>
              <a:gd name="T64" fmla="+- 0 10036 9412"/>
              <a:gd name="T65" fmla="*/ T64 w 1309"/>
              <a:gd name="T66" fmla="+- 0 263 154"/>
              <a:gd name="T67" fmla="*/ 263 h 391"/>
              <a:gd name="T68" fmla="+- 0 9979 9412"/>
              <a:gd name="T69" fmla="*/ T68 w 1309"/>
              <a:gd name="T70" fmla="+- 0 250 154"/>
              <a:gd name="T71" fmla="*/ 250 h 391"/>
              <a:gd name="T72" fmla="+- 0 9906 9412"/>
              <a:gd name="T73" fmla="*/ T72 w 1309"/>
              <a:gd name="T74" fmla="+- 0 330 154"/>
              <a:gd name="T75" fmla="*/ 330 h 391"/>
              <a:gd name="T76" fmla="+- 0 9984 9412"/>
              <a:gd name="T77" fmla="*/ T76 w 1309"/>
              <a:gd name="T78" fmla="+- 0 385 154"/>
              <a:gd name="T79" fmla="*/ 385 h 391"/>
              <a:gd name="T80" fmla="+- 0 9963 9412"/>
              <a:gd name="T81" fmla="*/ T80 w 1309"/>
              <a:gd name="T82" fmla="+- 0 421 154"/>
              <a:gd name="T83" fmla="*/ 421 h 391"/>
              <a:gd name="T84" fmla="+- 0 9910 9412"/>
              <a:gd name="T85" fmla="*/ T84 w 1309"/>
              <a:gd name="T86" fmla="+- 0 408 154"/>
              <a:gd name="T87" fmla="*/ 408 h 391"/>
              <a:gd name="T88" fmla="+- 0 9923 9412"/>
              <a:gd name="T89" fmla="*/ T88 w 1309"/>
              <a:gd name="T90" fmla="+- 0 454 154"/>
              <a:gd name="T91" fmla="*/ 454 h 391"/>
              <a:gd name="T92" fmla="+- 0 10022 9412"/>
              <a:gd name="T93" fmla="*/ T92 w 1309"/>
              <a:gd name="T94" fmla="+- 0 446 154"/>
              <a:gd name="T95" fmla="*/ 446 h 391"/>
              <a:gd name="T96" fmla="+- 0 10219 9412"/>
              <a:gd name="T97" fmla="*/ T96 w 1309"/>
              <a:gd name="T98" fmla="+- 0 255 154"/>
              <a:gd name="T99" fmla="*/ 255 h 391"/>
              <a:gd name="T100" fmla="+- 0 10210 9412"/>
              <a:gd name="T101" fmla="*/ T100 w 1309"/>
              <a:gd name="T102" fmla="+- 0 378 154"/>
              <a:gd name="T103" fmla="*/ 378 h 391"/>
              <a:gd name="T104" fmla="+- 0 10128 9412"/>
              <a:gd name="T105" fmla="*/ T104 w 1309"/>
              <a:gd name="T106" fmla="+- 0 396 154"/>
              <a:gd name="T107" fmla="*/ 396 h 391"/>
              <a:gd name="T108" fmla="+- 0 10128 9412"/>
              <a:gd name="T109" fmla="*/ T108 w 1309"/>
              <a:gd name="T110" fmla="+- 0 310 154"/>
              <a:gd name="T111" fmla="*/ 310 h 391"/>
              <a:gd name="T112" fmla="+- 0 10210 9412"/>
              <a:gd name="T113" fmla="*/ T112 w 1309"/>
              <a:gd name="T114" fmla="+- 0 328 154"/>
              <a:gd name="T115" fmla="*/ 328 h 391"/>
              <a:gd name="T116" fmla="+- 0 10169 9412"/>
              <a:gd name="T117" fmla="*/ T116 w 1309"/>
              <a:gd name="T118" fmla="+- 0 252 154"/>
              <a:gd name="T119" fmla="*/ 252 h 391"/>
              <a:gd name="T120" fmla="+- 0 10060 9412"/>
              <a:gd name="T121" fmla="*/ T120 w 1309"/>
              <a:gd name="T122" fmla="+- 0 352 154"/>
              <a:gd name="T123" fmla="*/ 352 h 391"/>
              <a:gd name="T124" fmla="+- 0 10168 9412"/>
              <a:gd name="T125" fmla="*/ T124 w 1309"/>
              <a:gd name="T126" fmla="+- 0 454 154"/>
              <a:gd name="T127" fmla="*/ 454 h 391"/>
              <a:gd name="T128" fmla="+- 0 10213 9412"/>
              <a:gd name="T129" fmla="*/ T128 w 1309"/>
              <a:gd name="T130" fmla="+- 0 441 154"/>
              <a:gd name="T131" fmla="*/ 441 h 391"/>
              <a:gd name="T132" fmla="+- 0 10129 9412"/>
              <a:gd name="T133" fmla="*/ T132 w 1309"/>
              <a:gd name="T134" fmla="+- 0 501 154"/>
              <a:gd name="T135" fmla="*/ 501 h 391"/>
              <a:gd name="T136" fmla="+- 0 10084 9412"/>
              <a:gd name="T137" fmla="*/ T136 w 1309"/>
              <a:gd name="T138" fmla="+- 0 491 154"/>
              <a:gd name="T139" fmla="*/ 491 h 391"/>
              <a:gd name="T140" fmla="+- 0 10092 9412"/>
              <a:gd name="T141" fmla="*/ T140 w 1309"/>
              <a:gd name="T142" fmla="+- 0 533 154"/>
              <a:gd name="T143" fmla="*/ 533 h 391"/>
              <a:gd name="T144" fmla="+- 0 10202 9412"/>
              <a:gd name="T145" fmla="*/ T144 w 1309"/>
              <a:gd name="T146" fmla="+- 0 538 154"/>
              <a:gd name="T147" fmla="*/ 538 h 391"/>
              <a:gd name="T148" fmla="+- 0 10267 9412"/>
              <a:gd name="T149" fmla="*/ T148 w 1309"/>
              <a:gd name="T150" fmla="+- 0 426 154"/>
              <a:gd name="T151" fmla="*/ 426 h 391"/>
              <a:gd name="T152" fmla="+- 0 10422 9412"/>
              <a:gd name="T153" fmla="*/ T152 w 1309"/>
              <a:gd name="T154" fmla="+- 0 256 154"/>
              <a:gd name="T155" fmla="*/ 256 h 391"/>
              <a:gd name="T156" fmla="+- 0 10380 9412"/>
              <a:gd name="T157" fmla="*/ T156 w 1309"/>
              <a:gd name="T158" fmla="+- 0 252 154"/>
              <a:gd name="T159" fmla="*/ 252 h 391"/>
              <a:gd name="T160" fmla="+- 0 10343 9412"/>
              <a:gd name="T161" fmla="*/ T160 w 1309"/>
              <a:gd name="T162" fmla="+- 0 259 154"/>
              <a:gd name="T163" fmla="*/ 259 h 391"/>
              <a:gd name="T164" fmla="+- 0 10296 9412"/>
              <a:gd name="T165" fmla="*/ T164 w 1309"/>
              <a:gd name="T166" fmla="+- 0 456 154"/>
              <a:gd name="T167" fmla="*/ 456 h 391"/>
              <a:gd name="T168" fmla="+- 0 10355 9412"/>
              <a:gd name="T169" fmla="*/ T168 w 1309"/>
              <a:gd name="T170" fmla="+- 0 316 154"/>
              <a:gd name="T171" fmla="*/ 316 h 391"/>
              <a:gd name="T172" fmla="+- 0 10418 9412"/>
              <a:gd name="T173" fmla="*/ T172 w 1309"/>
              <a:gd name="T174" fmla="+- 0 298 154"/>
              <a:gd name="T175" fmla="*/ 298 h 391"/>
              <a:gd name="T176" fmla="+- 0 10442 9412"/>
              <a:gd name="T177" fmla="*/ T176 w 1309"/>
              <a:gd name="T178" fmla="+- 0 255 154"/>
              <a:gd name="T179" fmla="*/ 255 h 391"/>
              <a:gd name="T180" fmla="+- 0 10491 9412"/>
              <a:gd name="T181" fmla="*/ T180 w 1309"/>
              <a:gd name="T182" fmla="+- 0 452 154"/>
              <a:gd name="T183" fmla="*/ 452 h 391"/>
              <a:gd name="T184" fmla="+- 0 10476 9412"/>
              <a:gd name="T185" fmla="*/ T184 w 1309"/>
              <a:gd name="T186" fmla="+- 0 158 154"/>
              <a:gd name="T187" fmla="*/ 158 h 391"/>
              <a:gd name="T188" fmla="+- 0 10434 9412"/>
              <a:gd name="T189" fmla="*/ T188 w 1309"/>
              <a:gd name="T190" fmla="+- 0 185 154"/>
              <a:gd name="T191" fmla="*/ 185 h 391"/>
              <a:gd name="T192" fmla="+- 0 10476 9412"/>
              <a:gd name="T193" fmla="*/ T192 w 1309"/>
              <a:gd name="T194" fmla="+- 0 214 154"/>
              <a:gd name="T195" fmla="*/ 214 h 391"/>
              <a:gd name="T196" fmla="+- 0 10717 9412"/>
              <a:gd name="T197" fmla="*/ T196 w 1309"/>
              <a:gd name="T198" fmla="+- 0 154 154"/>
              <a:gd name="T199" fmla="*/ 154 h 391"/>
              <a:gd name="T200" fmla="+- 0 10664 9412"/>
              <a:gd name="T201" fmla="*/ T200 w 1309"/>
              <a:gd name="T202" fmla="+- 0 380 154"/>
              <a:gd name="T203" fmla="*/ 380 h 391"/>
              <a:gd name="T204" fmla="+- 0 10582 9412"/>
              <a:gd name="T205" fmla="*/ T204 w 1309"/>
              <a:gd name="T206" fmla="+- 0 398 154"/>
              <a:gd name="T207" fmla="*/ 398 h 391"/>
              <a:gd name="T208" fmla="+- 0 10597 9412"/>
              <a:gd name="T209" fmla="*/ T208 w 1309"/>
              <a:gd name="T210" fmla="+- 0 297 154"/>
              <a:gd name="T211" fmla="*/ 297 h 391"/>
              <a:gd name="T212" fmla="+- 0 10668 9412"/>
              <a:gd name="T213" fmla="*/ T212 w 1309"/>
              <a:gd name="T214" fmla="+- 0 356 154"/>
              <a:gd name="T215" fmla="*/ 356 h 391"/>
              <a:gd name="T216" fmla="+- 0 10622 9412"/>
              <a:gd name="T217" fmla="*/ T216 w 1309"/>
              <a:gd name="T218" fmla="+- 0 252 154"/>
              <a:gd name="T219" fmla="*/ 252 h 391"/>
              <a:gd name="T220" fmla="+- 0 10515 9412"/>
              <a:gd name="T221" fmla="*/ T220 w 1309"/>
              <a:gd name="T222" fmla="+- 0 352 154"/>
              <a:gd name="T223" fmla="*/ 352 h 391"/>
              <a:gd name="T224" fmla="+- 0 10624 9412"/>
              <a:gd name="T225" fmla="*/ T224 w 1309"/>
              <a:gd name="T226" fmla="+- 0 458 154"/>
              <a:gd name="T227" fmla="*/ 458 h 391"/>
              <a:gd name="T228" fmla="+- 0 10671 9412"/>
              <a:gd name="T229" fmla="*/ T228 w 1309"/>
              <a:gd name="T230" fmla="+- 0 452 154"/>
              <a:gd name="T231" fmla="*/ 452 h 391"/>
              <a:gd name="T232" fmla="+- 0 10721 9412"/>
              <a:gd name="T233" fmla="*/ T232 w 1309"/>
              <a:gd name="T234" fmla="+- 0 418 154"/>
              <a:gd name="T235" fmla="*/ 418 h 39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 ang="0">
                <a:pos x="T145" y="T147"/>
              </a:cxn>
              <a:cxn ang="0">
                <a:pos x="T149" y="T151"/>
              </a:cxn>
              <a:cxn ang="0">
                <a:pos x="T153" y="T155"/>
              </a:cxn>
              <a:cxn ang="0">
                <a:pos x="T157" y="T159"/>
              </a:cxn>
              <a:cxn ang="0">
                <a:pos x="T161" y="T163"/>
              </a:cxn>
              <a:cxn ang="0">
                <a:pos x="T165" y="T167"/>
              </a:cxn>
              <a:cxn ang="0">
                <a:pos x="T169" y="T171"/>
              </a:cxn>
              <a:cxn ang="0">
                <a:pos x="T173" y="T175"/>
              </a:cxn>
              <a:cxn ang="0">
                <a:pos x="T177" y="T179"/>
              </a:cxn>
              <a:cxn ang="0">
                <a:pos x="T181" y="T183"/>
              </a:cxn>
              <a:cxn ang="0">
                <a:pos x="T185" y="T187"/>
              </a:cxn>
              <a:cxn ang="0">
                <a:pos x="T189" y="T191"/>
              </a:cxn>
              <a:cxn ang="0">
                <a:pos x="T193" y="T195"/>
              </a:cxn>
              <a:cxn ang="0">
                <a:pos x="T197" y="T199"/>
              </a:cxn>
              <a:cxn ang="0">
                <a:pos x="T201" y="T203"/>
              </a:cxn>
              <a:cxn ang="0">
                <a:pos x="T205" y="T207"/>
              </a:cxn>
              <a:cxn ang="0">
                <a:pos x="T209" y="T211"/>
              </a:cxn>
              <a:cxn ang="0">
                <a:pos x="T213" y="T215"/>
              </a:cxn>
              <a:cxn ang="0">
                <a:pos x="T217" y="T219"/>
              </a:cxn>
              <a:cxn ang="0">
                <a:pos x="T221" y="T223"/>
              </a:cxn>
              <a:cxn ang="0">
                <a:pos x="T225" y="T227"/>
              </a:cxn>
              <a:cxn ang="0">
                <a:pos x="T229" y="T231"/>
              </a:cxn>
              <a:cxn ang="0">
                <a:pos x="T233" y="T235"/>
              </a:cxn>
            </a:cxnLst>
            <a:rect l="0" t="0" r="r" b="b"/>
            <a:pathLst>
              <a:path w="1309" h="391">
                <a:moveTo>
                  <a:pt x="273" y="299"/>
                </a:moveTo>
                <a:lnTo>
                  <a:pt x="272" y="293"/>
                </a:lnTo>
                <a:lnTo>
                  <a:pt x="272" y="291"/>
                </a:lnTo>
                <a:lnTo>
                  <a:pt x="271" y="289"/>
                </a:lnTo>
                <a:lnTo>
                  <a:pt x="251" y="237"/>
                </a:lnTo>
                <a:lnTo>
                  <a:pt x="234" y="192"/>
                </a:lnTo>
                <a:lnTo>
                  <a:pt x="189" y="75"/>
                </a:lnTo>
                <a:lnTo>
                  <a:pt x="177" y="45"/>
                </a:lnTo>
                <a:lnTo>
                  <a:pt x="177" y="192"/>
                </a:lnTo>
                <a:lnTo>
                  <a:pt x="92" y="192"/>
                </a:lnTo>
                <a:lnTo>
                  <a:pt x="134" y="75"/>
                </a:lnTo>
                <a:lnTo>
                  <a:pt x="135" y="75"/>
                </a:lnTo>
                <a:lnTo>
                  <a:pt x="177" y="192"/>
                </a:lnTo>
                <a:lnTo>
                  <a:pt x="177" y="45"/>
                </a:lnTo>
                <a:lnTo>
                  <a:pt x="173" y="34"/>
                </a:lnTo>
                <a:lnTo>
                  <a:pt x="170" y="26"/>
                </a:lnTo>
                <a:lnTo>
                  <a:pt x="165" y="21"/>
                </a:lnTo>
                <a:lnTo>
                  <a:pt x="107" y="21"/>
                </a:lnTo>
                <a:lnTo>
                  <a:pt x="102" y="26"/>
                </a:lnTo>
                <a:lnTo>
                  <a:pt x="1" y="291"/>
                </a:lnTo>
                <a:lnTo>
                  <a:pt x="0" y="293"/>
                </a:lnTo>
                <a:lnTo>
                  <a:pt x="0" y="299"/>
                </a:lnTo>
                <a:lnTo>
                  <a:pt x="3" y="302"/>
                </a:lnTo>
                <a:lnTo>
                  <a:pt x="50" y="302"/>
                </a:lnTo>
                <a:lnTo>
                  <a:pt x="55" y="298"/>
                </a:lnTo>
                <a:lnTo>
                  <a:pt x="58" y="289"/>
                </a:lnTo>
                <a:lnTo>
                  <a:pt x="76" y="237"/>
                </a:lnTo>
                <a:lnTo>
                  <a:pt x="192" y="237"/>
                </a:lnTo>
                <a:lnTo>
                  <a:pt x="211" y="289"/>
                </a:lnTo>
                <a:lnTo>
                  <a:pt x="213" y="298"/>
                </a:lnTo>
                <a:lnTo>
                  <a:pt x="218" y="302"/>
                </a:lnTo>
                <a:lnTo>
                  <a:pt x="269" y="302"/>
                </a:lnTo>
                <a:lnTo>
                  <a:pt x="273" y="299"/>
                </a:lnTo>
                <a:close/>
                <a:moveTo>
                  <a:pt x="470" y="105"/>
                </a:moveTo>
                <a:lnTo>
                  <a:pt x="466" y="101"/>
                </a:lnTo>
                <a:lnTo>
                  <a:pt x="421" y="101"/>
                </a:lnTo>
                <a:lnTo>
                  <a:pt x="417" y="105"/>
                </a:lnTo>
                <a:lnTo>
                  <a:pt x="417" y="192"/>
                </a:lnTo>
                <a:lnTo>
                  <a:pt x="414" y="221"/>
                </a:lnTo>
                <a:lnTo>
                  <a:pt x="404" y="243"/>
                </a:lnTo>
                <a:lnTo>
                  <a:pt x="388" y="257"/>
                </a:lnTo>
                <a:lnTo>
                  <a:pt x="367" y="262"/>
                </a:lnTo>
                <a:lnTo>
                  <a:pt x="349" y="258"/>
                </a:lnTo>
                <a:lnTo>
                  <a:pt x="337" y="247"/>
                </a:lnTo>
                <a:lnTo>
                  <a:pt x="331" y="229"/>
                </a:lnTo>
                <a:lnTo>
                  <a:pt x="329" y="205"/>
                </a:lnTo>
                <a:lnTo>
                  <a:pt x="329" y="105"/>
                </a:lnTo>
                <a:lnTo>
                  <a:pt x="325" y="101"/>
                </a:lnTo>
                <a:lnTo>
                  <a:pt x="280" y="101"/>
                </a:lnTo>
                <a:lnTo>
                  <a:pt x="276" y="105"/>
                </a:lnTo>
                <a:lnTo>
                  <a:pt x="276" y="220"/>
                </a:lnTo>
                <a:lnTo>
                  <a:pt x="280" y="252"/>
                </a:lnTo>
                <a:lnTo>
                  <a:pt x="292" y="280"/>
                </a:lnTo>
                <a:lnTo>
                  <a:pt x="315" y="299"/>
                </a:lnTo>
                <a:lnTo>
                  <a:pt x="351" y="306"/>
                </a:lnTo>
                <a:lnTo>
                  <a:pt x="371" y="304"/>
                </a:lnTo>
                <a:lnTo>
                  <a:pt x="388" y="298"/>
                </a:lnTo>
                <a:lnTo>
                  <a:pt x="403" y="288"/>
                </a:lnTo>
                <a:lnTo>
                  <a:pt x="416" y="272"/>
                </a:lnTo>
                <a:lnTo>
                  <a:pt x="419" y="272"/>
                </a:lnTo>
                <a:lnTo>
                  <a:pt x="419" y="298"/>
                </a:lnTo>
                <a:lnTo>
                  <a:pt x="423" y="302"/>
                </a:lnTo>
                <a:lnTo>
                  <a:pt x="466" y="302"/>
                </a:lnTo>
                <a:lnTo>
                  <a:pt x="470" y="298"/>
                </a:lnTo>
                <a:lnTo>
                  <a:pt x="470" y="105"/>
                </a:lnTo>
                <a:close/>
                <a:moveTo>
                  <a:pt x="635" y="243"/>
                </a:moveTo>
                <a:lnTo>
                  <a:pt x="633" y="224"/>
                </a:lnTo>
                <a:lnTo>
                  <a:pt x="624" y="208"/>
                </a:lnTo>
                <a:lnTo>
                  <a:pt x="609" y="195"/>
                </a:lnTo>
                <a:lnTo>
                  <a:pt x="588" y="183"/>
                </a:lnTo>
                <a:lnTo>
                  <a:pt x="569" y="176"/>
                </a:lnTo>
                <a:lnTo>
                  <a:pt x="555" y="168"/>
                </a:lnTo>
                <a:lnTo>
                  <a:pt x="545" y="161"/>
                </a:lnTo>
                <a:lnTo>
                  <a:pt x="542" y="152"/>
                </a:lnTo>
                <a:lnTo>
                  <a:pt x="542" y="141"/>
                </a:lnTo>
                <a:lnTo>
                  <a:pt x="553" y="135"/>
                </a:lnTo>
                <a:lnTo>
                  <a:pt x="569" y="135"/>
                </a:lnTo>
                <a:lnTo>
                  <a:pt x="584" y="137"/>
                </a:lnTo>
                <a:lnTo>
                  <a:pt x="596" y="140"/>
                </a:lnTo>
                <a:lnTo>
                  <a:pt x="604" y="143"/>
                </a:lnTo>
                <a:lnTo>
                  <a:pt x="611" y="145"/>
                </a:lnTo>
                <a:lnTo>
                  <a:pt x="616" y="145"/>
                </a:lnTo>
                <a:lnTo>
                  <a:pt x="618" y="143"/>
                </a:lnTo>
                <a:lnTo>
                  <a:pt x="625" y="111"/>
                </a:lnTo>
                <a:lnTo>
                  <a:pt x="624" y="109"/>
                </a:lnTo>
                <a:lnTo>
                  <a:pt x="616" y="106"/>
                </a:lnTo>
                <a:lnTo>
                  <a:pt x="604" y="101"/>
                </a:lnTo>
                <a:lnTo>
                  <a:pt x="592" y="99"/>
                </a:lnTo>
                <a:lnTo>
                  <a:pt x="579" y="97"/>
                </a:lnTo>
                <a:lnTo>
                  <a:pt x="567" y="96"/>
                </a:lnTo>
                <a:lnTo>
                  <a:pt x="537" y="100"/>
                </a:lnTo>
                <a:lnTo>
                  <a:pt x="513" y="111"/>
                </a:lnTo>
                <a:lnTo>
                  <a:pt x="497" y="129"/>
                </a:lnTo>
                <a:lnTo>
                  <a:pt x="491" y="155"/>
                </a:lnTo>
                <a:lnTo>
                  <a:pt x="494" y="176"/>
                </a:lnTo>
                <a:lnTo>
                  <a:pt x="503" y="192"/>
                </a:lnTo>
                <a:lnTo>
                  <a:pt x="518" y="205"/>
                </a:lnTo>
                <a:lnTo>
                  <a:pt x="538" y="215"/>
                </a:lnTo>
                <a:lnTo>
                  <a:pt x="559" y="223"/>
                </a:lnTo>
                <a:lnTo>
                  <a:pt x="572" y="231"/>
                </a:lnTo>
                <a:lnTo>
                  <a:pt x="580" y="238"/>
                </a:lnTo>
                <a:lnTo>
                  <a:pt x="583" y="247"/>
                </a:lnTo>
                <a:lnTo>
                  <a:pt x="583" y="262"/>
                </a:lnTo>
                <a:lnTo>
                  <a:pt x="567" y="267"/>
                </a:lnTo>
                <a:lnTo>
                  <a:pt x="551" y="267"/>
                </a:lnTo>
                <a:lnTo>
                  <a:pt x="533" y="265"/>
                </a:lnTo>
                <a:lnTo>
                  <a:pt x="520" y="261"/>
                </a:lnTo>
                <a:lnTo>
                  <a:pt x="511" y="256"/>
                </a:lnTo>
                <a:lnTo>
                  <a:pt x="504" y="254"/>
                </a:lnTo>
                <a:lnTo>
                  <a:pt x="498" y="254"/>
                </a:lnTo>
                <a:lnTo>
                  <a:pt x="496" y="257"/>
                </a:lnTo>
                <a:lnTo>
                  <a:pt x="495" y="263"/>
                </a:lnTo>
                <a:lnTo>
                  <a:pt x="491" y="288"/>
                </a:lnTo>
                <a:lnTo>
                  <a:pt x="493" y="293"/>
                </a:lnTo>
                <a:lnTo>
                  <a:pt x="511" y="300"/>
                </a:lnTo>
                <a:lnTo>
                  <a:pt x="524" y="303"/>
                </a:lnTo>
                <a:lnTo>
                  <a:pt x="538" y="305"/>
                </a:lnTo>
                <a:lnTo>
                  <a:pt x="553" y="306"/>
                </a:lnTo>
                <a:lnTo>
                  <a:pt x="583" y="303"/>
                </a:lnTo>
                <a:lnTo>
                  <a:pt x="610" y="292"/>
                </a:lnTo>
                <a:lnTo>
                  <a:pt x="628" y="273"/>
                </a:lnTo>
                <a:lnTo>
                  <a:pt x="635" y="243"/>
                </a:lnTo>
                <a:close/>
                <a:moveTo>
                  <a:pt x="855" y="105"/>
                </a:moveTo>
                <a:lnTo>
                  <a:pt x="851" y="101"/>
                </a:lnTo>
                <a:lnTo>
                  <a:pt x="807" y="101"/>
                </a:lnTo>
                <a:lnTo>
                  <a:pt x="804" y="105"/>
                </a:lnTo>
                <a:lnTo>
                  <a:pt x="804" y="125"/>
                </a:lnTo>
                <a:lnTo>
                  <a:pt x="802" y="125"/>
                </a:lnTo>
                <a:lnTo>
                  <a:pt x="802" y="201"/>
                </a:lnTo>
                <a:lnTo>
                  <a:pt x="798" y="224"/>
                </a:lnTo>
                <a:lnTo>
                  <a:pt x="789" y="244"/>
                </a:lnTo>
                <a:lnTo>
                  <a:pt x="773" y="256"/>
                </a:lnTo>
                <a:lnTo>
                  <a:pt x="751" y="261"/>
                </a:lnTo>
                <a:lnTo>
                  <a:pt x="730" y="256"/>
                </a:lnTo>
                <a:lnTo>
                  <a:pt x="716" y="242"/>
                </a:lnTo>
                <a:lnTo>
                  <a:pt x="707" y="223"/>
                </a:lnTo>
                <a:lnTo>
                  <a:pt x="704" y="201"/>
                </a:lnTo>
                <a:lnTo>
                  <a:pt x="704" y="198"/>
                </a:lnTo>
                <a:lnTo>
                  <a:pt x="707" y="176"/>
                </a:lnTo>
                <a:lnTo>
                  <a:pt x="716" y="156"/>
                </a:lnTo>
                <a:lnTo>
                  <a:pt x="731" y="143"/>
                </a:lnTo>
                <a:lnTo>
                  <a:pt x="752" y="137"/>
                </a:lnTo>
                <a:lnTo>
                  <a:pt x="772" y="142"/>
                </a:lnTo>
                <a:lnTo>
                  <a:pt x="788" y="155"/>
                </a:lnTo>
                <a:lnTo>
                  <a:pt x="798" y="174"/>
                </a:lnTo>
                <a:lnTo>
                  <a:pt x="802" y="201"/>
                </a:lnTo>
                <a:lnTo>
                  <a:pt x="802" y="125"/>
                </a:lnTo>
                <a:lnTo>
                  <a:pt x="789" y="112"/>
                </a:lnTo>
                <a:lnTo>
                  <a:pt x="774" y="103"/>
                </a:lnTo>
                <a:lnTo>
                  <a:pt x="757" y="98"/>
                </a:lnTo>
                <a:lnTo>
                  <a:pt x="737" y="96"/>
                </a:lnTo>
                <a:lnTo>
                  <a:pt x="698" y="105"/>
                </a:lnTo>
                <a:lnTo>
                  <a:pt x="670" y="128"/>
                </a:lnTo>
                <a:lnTo>
                  <a:pt x="654" y="161"/>
                </a:lnTo>
                <a:lnTo>
                  <a:pt x="648" y="198"/>
                </a:lnTo>
                <a:lnTo>
                  <a:pt x="654" y="238"/>
                </a:lnTo>
                <a:lnTo>
                  <a:pt x="671" y="271"/>
                </a:lnTo>
                <a:lnTo>
                  <a:pt x="698" y="293"/>
                </a:lnTo>
                <a:lnTo>
                  <a:pt x="737" y="302"/>
                </a:lnTo>
                <a:lnTo>
                  <a:pt x="756" y="300"/>
                </a:lnTo>
                <a:lnTo>
                  <a:pt x="773" y="295"/>
                </a:lnTo>
                <a:lnTo>
                  <a:pt x="788" y="286"/>
                </a:lnTo>
                <a:lnTo>
                  <a:pt x="800" y="272"/>
                </a:lnTo>
                <a:lnTo>
                  <a:pt x="802" y="272"/>
                </a:lnTo>
                <a:lnTo>
                  <a:pt x="801" y="287"/>
                </a:lnTo>
                <a:lnTo>
                  <a:pt x="798" y="314"/>
                </a:lnTo>
                <a:lnTo>
                  <a:pt x="787" y="333"/>
                </a:lnTo>
                <a:lnTo>
                  <a:pt x="768" y="345"/>
                </a:lnTo>
                <a:lnTo>
                  <a:pt x="741" y="349"/>
                </a:lnTo>
                <a:lnTo>
                  <a:pt x="717" y="347"/>
                </a:lnTo>
                <a:lnTo>
                  <a:pt x="700" y="342"/>
                </a:lnTo>
                <a:lnTo>
                  <a:pt x="688" y="337"/>
                </a:lnTo>
                <a:lnTo>
                  <a:pt x="680" y="335"/>
                </a:lnTo>
                <a:lnTo>
                  <a:pt x="674" y="335"/>
                </a:lnTo>
                <a:lnTo>
                  <a:pt x="672" y="337"/>
                </a:lnTo>
                <a:lnTo>
                  <a:pt x="671" y="343"/>
                </a:lnTo>
                <a:lnTo>
                  <a:pt x="668" y="362"/>
                </a:lnTo>
                <a:lnTo>
                  <a:pt x="667" y="371"/>
                </a:lnTo>
                <a:lnTo>
                  <a:pt x="668" y="374"/>
                </a:lnTo>
                <a:lnTo>
                  <a:pt x="680" y="379"/>
                </a:lnTo>
                <a:lnTo>
                  <a:pt x="693" y="383"/>
                </a:lnTo>
                <a:lnTo>
                  <a:pt x="709" y="387"/>
                </a:lnTo>
                <a:lnTo>
                  <a:pt x="725" y="389"/>
                </a:lnTo>
                <a:lnTo>
                  <a:pt x="741" y="390"/>
                </a:lnTo>
                <a:lnTo>
                  <a:pt x="790" y="384"/>
                </a:lnTo>
                <a:lnTo>
                  <a:pt x="826" y="365"/>
                </a:lnTo>
                <a:lnTo>
                  <a:pt x="837" y="349"/>
                </a:lnTo>
                <a:lnTo>
                  <a:pt x="847" y="333"/>
                </a:lnTo>
                <a:lnTo>
                  <a:pt x="855" y="287"/>
                </a:lnTo>
                <a:lnTo>
                  <a:pt x="855" y="272"/>
                </a:lnTo>
                <a:lnTo>
                  <a:pt x="855" y="261"/>
                </a:lnTo>
                <a:lnTo>
                  <a:pt x="855" y="137"/>
                </a:lnTo>
                <a:lnTo>
                  <a:pt x="855" y="125"/>
                </a:lnTo>
                <a:lnTo>
                  <a:pt x="855" y="105"/>
                </a:lnTo>
                <a:close/>
                <a:moveTo>
                  <a:pt x="1010" y="102"/>
                </a:moveTo>
                <a:lnTo>
                  <a:pt x="1007" y="99"/>
                </a:lnTo>
                <a:lnTo>
                  <a:pt x="999" y="97"/>
                </a:lnTo>
                <a:lnTo>
                  <a:pt x="992" y="96"/>
                </a:lnTo>
                <a:lnTo>
                  <a:pt x="984" y="96"/>
                </a:lnTo>
                <a:lnTo>
                  <a:pt x="968" y="98"/>
                </a:lnTo>
                <a:lnTo>
                  <a:pt x="955" y="104"/>
                </a:lnTo>
                <a:lnTo>
                  <a:pt x="943" y="114"/>
                </a:lnTo>
                <a:lnTo>
                  <a:pt x="933" y="129"/>
                </a:lnTo>
                <a:lnTo>
                  <a:pt x="931" y="129"/>
                </a:lnTo>
                <a:lnTo>
                  <a:pt x="931" y="105"/>
                </a:lnTo>
                <a:lnTo>
                  <a:pt x="927" y="101"/>
                </a:lnTo>
                <a:lnTo>
                  <a:pt x="884" y="101"/>
                </a:lnTo>
                <a:lnTo>
                  <a:pt x="880" y="105"/>
                </a:lnTo>
                <a:lnTo>
                  <a:pt x="880" y="298"/>
                </a:lnTo>
                <a:lnTo>
                  <a:pt x="884" y="302"/>
                </a:lnTo>
                <a:lnTo>
                  <a:pt x="929" y="302"/>
                </a:lnTo>
                <a:lnTo>
                  <a:pt x="933" y="298"/>
                </a:lnTo>
                <a:lnTo>
                  <a:pt x="933" y="211"/>
                </a:lnTo>
                <a:lnTo>
                  <a:pt x="935" y="184"/>
                </a:lnTo>
                <a:lnTo>
                  <a:pt x="943" y="162"/>
                </a:lnTo>
                <a:lnTo>
                  <a:pt x="958" y="147"/>
                </a:lnTo>
                <a:lnTo>
                  <a:pt x="979" y="142"/>
                </a:lnTo>
                <a:lnTo>
                  <a:pt x="989" y="142"/>
                </a:lnTo>
                <a:lnTo>
                  <a:pt x="994" y="144"/>
                </a:lnTo>
                <a:lnTo>
                  <a:pt x="1006" y="144"/>
                </a:lnTo>
                <a:lnTo>
                  <a:pt x="1010" y="141"/>
                </a:lnTo>
                <a:lnTo>
                  <a:pt x="1010" y="102"/>
                </a:lnTo>
                <a:close/>
                <a:moveTo>
                  <a:pt x="1079" y="105"/>
                </a:moveTo>
                <a:lnTo>
                  <a:pt x="1075" y="101"/>
                </a:lnTo>
                <a:lnTo>
                  <a:pt x="1030" y="101"/>
                </a:lnTo>
                <a:lnTo>
                  <a:pt x="1026" y="105"/>
                </a:lnTo>
                <a:lnTo>
                  <a:pt x="1026" y="298"/>
                </a:lnTo>
                <a:lnTo>
                  <a:pt x="1030" y="302"/>
                </a:lnTo>
                <a:lnTo>
                  <a:pt x="1075" y="302"/>
                </a:lnTo>
                <a:lnTo>
                  <a:pt x="1079" y="298"/>
                </a:lnTo>
                <a:lnTo>
                  <a:pt x="1079" y="105"/>
                </a:lnTo>
                <a:close/>
                <a:moveTo>
                  <a:pt x="1083" y="31"/>
                </a:moveTo>
                <a:lnTo>
                  <a:pt x="1080" y="20"/>
                </a:lnTo>
                <a:lnTo>
                  <a:pt x="1074" y="10"/>
                </a:lnTo>
                <a:lnTo>
                  <a:pt x="1064" y="4"/>
                </a:lnTo>
                <a:lnTo>
                  <a:pt x="1052" y="1"/>
                </a:lnTo>
                <a:lnTo>
                  <a:pt x="1041" y="4"/>
                </a:lnTo>
                <a:lnTo>
                  <a:pt x="1031" y="10"/>
                </a:lnTo>
                <a:lnTo>
                  <a:pt x="1024" y="20"/>
                </a:lnTo>
                <a:lnTo>
                  <a:pt x="1022" y="31"/>
                </a:lnTo>
                <a:lnTo>
                  <a:pt x="1024" y="43"/>
                </a:lnTo>
                <a:lnTo>
                  <a:pt x="1031" y="53"/>
                </a:lnTo>
                <a:lnTo>
                  <a:pt x="1041" y="60"/>
                </a:lnTo>
                <a:lnTo>
                  <a:pt x="1052" y="62"/>
                </a:lnTo>
                <a:lnTo>
                  <a:pt x="1064" y="60"/>
                </a:lnTo>
                <a:lnTo>
                  <a:pt x="1074" y="53"/>
                </a:lnTo>
                <a:lnTo>
                  <a:pt x="1080" y="43"/>
                </a:lnTo>
                <a:lnTo>
                  <a:pt x="1083" y="31"/>
                </a:lnTo>
                <a:close/>
                <a:moveTo>
                  <a:pt x="1309" y="4"/>
                </a:moveTo>
                <a:lnTo>
                  <a:pt x="1305" y="0"/>
                </a:lnTo>
                <a:lnTo>
                  <a:pt x="1260" y="0"/>
                </a:lnTo>
                <a:lnTo>
                  <a:pt x="1256" y="4"/>
                </a:lnTo>
                <a:lnTo>
                  <a:pt x="1256" y="125"/>
                </a:lnTo>
                <a:lnTo>
                  <a:pt x="1256" y="202"/>
                </a:lnTo>
                <a:lnTo>
                  <a:pt x="1252" y="226"/>
                </a:lnTo>
                <a:lnTo>
                  <a:pt x="1243" y="246"/>
                </a:lnTo>
                <a:lnTo>
                  <a:pt x="1227" y="259"/>
                </a:lnTo>
                <a:lnTo>
                  <a:pt x="1206" y="264"/>
                </a:lnTo>
                <a:lnTo>
                  <a:pt x="1185" y="259"/>
                </a:lnTo>
                <a:lnTo>
                  <a:pt x="1170" y="244"/>
                </a:lnTo>
                <a:lnTo>
                  <a:pt x="1161" y="224"/>
                </a:lnTo>
                <a:lnTo>
                  <a:pt x="1158" y="200"/>
                </a:lnTo>
                <a:lnTo>
                  <a:pt x="1161" y="177"/>
                </a:lnTo>
                <a:lnTo>
                  <a:pt x="1170" y="157"/>
                </a:lnTo>
                <a:lnTo>
                  <a:pt x="1185" y="143"/>
                </a:lnTo>
                <a:lnTo>
                  <a:pt x="1206" y="138"/>
                </a:lnTo>
                <a:lnTo>
                  <a:pt x="1227" y="143"/>
                </a:lnTo>
                <a:lnTo>
                  <a:pt x="1242" y="156"/>
                </a:lnTo>
                <a:lnTo>
                  <a:pt x="1252" y="176"/>
                </a:lnTo>
                <a:lnTo>
                  <a:pt x="1256" y="202"/>
                </a:lnTo>
                <a:lnTo>
                  <a:pt x="1256" y="125"/>
                </a:lnTo>
                <a:lnTo>
                  <a:pt x="1255" y="125"/>
                </a:lnTo>
                <a:lnTo>
                  <a:pt x="1242" y="112"/>
                </a:lnTo>
                <a:lnTo>
                  <a:pt x="1227" y="103"/>
                </a:lnTo>
                <a:lnTo>
                  <a:pt x="1210" y="98"/>
                </a:lnTo>
                <a:lnTo>
                  <a:pt x="1190" y="96"/>
                </a:lnTo>
                <a:lnTo>
                  <a:pt x="1152" y="105"/>
                </a:lnTo>
                <a:lnTo>
                  <a:pt x="1125" y="128"/>
                </a:lnTo>
                <a:lnTo>
                  <a:pt x="1108" y="161"/>
                </a:lnTo>
                <a:lnTo>
                  <a:pt x="1103" y="198"/>
                </a:lnTo>
                <a:lnTo>
                  <a:pt x="1108" y="239"/>
                </a:lnTo>
                <a:lnTo>
                  <a:pt x="1125" y="274"/>
                </a:lnTo>
                <a:lnTo>
                  <a:pt x="1153" y="297"/>
                </a:lnTo>
                <a:lnTo>
                  <a:pt x="1192" y="306"/>
                </a:lnTo>
                <a:lnTo>
                  <a:pt x="1212" y="304"/>
                </a:lnTo>
                <a:lnTo>
                  <a:pt x="1229" y="298"/>
                </a:lnTo>
                <a:lnTo>
                  <a:pt x="1244" y="289"/>
                </a:lnTo>
                <a:lnTo>
                  <a:pt x="1256" y="275"/>
                </a:lnTo>
                <a:lnTo>
                  <a:pt x="1259" y="275"/>
                </a:lnTo>
                <a:lnTo>
                  <a:pt x="1259" y="298"/>
                </a:lnTo>
                <a:lnTo>
                  <a:pt x="1263" y="302"/>
                </a:lnTo>
                <a:lnTo>
                  <a:pt x="1305" y="302"/>
                </a:lnTo>
                <a:lnTo>
                  <a:pt x="1309" y="298"/>
                </a:lnTo>
                <a:lnTo>
                  <a:pt x="1309" y="275"/>
                </a:lnTo>
                <a:lnTo>
                  <a:pt x="1309" y="264"/>
                </a:lnTo>
                <a:lnTo>
                  <a:pt x="1309" y="138"/>
                </a:lnTo>
                <a:lnTo>
                  <a:pt x="1309" y="125"/>
                </a:lnTo>
                <a:lnTo>
                  <a:pt x="1309" y="4"/>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pic>
        <xdr:nvPicPr>
          <xdr:cNvPr id="5" name="Picture 4">
            <a:extLst>
              <a:ext uri="{FF2B5EF4-FFF2-40B4-BE49-F238E27FC236}">
                <a16:creationId xmlns:a16="http://schemas.microsoft.com/office/drawing/2014/main" id="{75A51DC5-76B2-F28A-8633-BCA1BEB3D49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54" y="75"/>
            <a:ext cx="527" cy="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215900</xdr:colOff>
      <xdr:row>36</xdr:row>
      <xdr:rowOff>19051</xdr:rowOff>
    </xdr:from>
    <xdr:to>
      <xdr:col>4</xdr:col>
      <xdr:colOff>339725</xdr:colOff>
      <xdr:row>38</xdr:row>
      <xdr:rowOff>34925</xdr:rowOff>
    </xdr:to>
    <xdr:sp macro="" textlink="">
      <xdr:nvSpPr>
        <xdr:cNvPr id="6" name="TextBox 5">
          <a:extLst>
            <a:ext uri="{FF2B5EF4-FFF2-40B4-BE49-F238E27FC236}">
              <a16:creationId xmlns:a16="http://schemas.microsoft.com/office/drawing/2014/main" id="{96304E04-8804-48F9-A78C-2292AC968F4C}"/>
            </a:ext>
          </a:extLst>
        </xdr:cNvPr>
        <xdr:cNvSpPr txBox="1"/>
      </xdr:nvSpPr>
      <xdr:spPr>
        <a:xfrm>
          <a:off x="215900" y="6686551"/>
          <a:ext cx="2251075" cy="384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900">
              <a:solidFill>
                <a:sysClr val="windowText" lastClr="000000"/>
              </a:solidFill>
              <a:latin typeface="Arial" panose="020B0604020202020204" pitchFamily="34" charset="0"/>
              <a:cs typeface="Arial" panose="020B0604020202020204" pitchFamily="34" charset="0"/>
            </a:rPr>
            <a:t>Empowering communities for a resilient, affordable and net-zero future.</a:t>
          </a:r>
        </a:p>
      </xdr:txBody>
    </xdr:sp>
    <xdr:clientData/>
  </xdr:twoCellAnchor>
  <xdr:twoCellAnchor>
    <xdr:from>
      <xdr:col>1</xdr:col>
      <xdr:colOff>22592</xdr:colOff>
      <xdr:row>29</xdr:row>
      <xdr:rowOff>49028</xdr:rowOff>
    </xdr:from>
    <xdr:to>
      <xdr:col>2</xdr:col>
      <xdr:colOff>281987</xdr:colOff>
      <xdr:row>29</xdr:row>
      <xdr:rowOff>99058</xdr:rowOff>
    </xdr:to>
    <xdr:sp macro="" textlink="">
      <xdr:nvSpPr>
        <xdr:cNvPr id="7" name="Rectangle 6">
          <a:extLst>
            <a:ext uri="{FF2B5EF4-FFF2-40B4-BE49-F238E27FC236}">
              <a16:creationId xmlns:a16="http://schemas.microsoft.com/office/drawing/2014/main" id="{C8A9A08E-42EE-401F-9F44-E8E997096277}"/>
            </a:ext>
          </a:extLst>
        </xdr:cNvPr>
        <xdr:cNvSpPr/>
      </xdr:nvSpPr>
      <xdr:spPr>
        <a:xfrm flipH="1" flipV="1">
          <a:off x="321042" y="5427478"/>
          <a:ext cx="868995" cy="50030"/>
        </a:xfrm>
        <a:prstGeom prst="rect">
          <a:avLst/>
        </a:prstGeom>
        <a:gradFill flip="none" rotWithShape="1">
          <a:gsLst>
            <a:gs pos="0">
              <a:srgbClr val="70BF43"/>
            </a:gs>
            <a:gs pos="71000">
              <a:srgbClr val="0095D5"/>
            </a:gs>
          </a:gsLst>
          <a:lin ang="2700000" scaled="0"/>
          <a:tileRect/>
        </a:gradFill>
        <a:ln w="12700" cap="flat" cmpd="sng" algn="ctr">
          <a:noFill/>
          <a:prstDash val="solid"/>
          <a:miter lim="800000"/>
        </a:ln>
        <a:effectLst/>
      </xdr:spPr>
      <xdr:txBody>
        <a:bodyPr wrap="square" rtlCol="0" anchor="ctr">
          <a:noAutofit/>
        </a:bodyPr>
        <a:lstStyle/>
        <a:p>
          <a:pPr marL="90170">
            <a:lnSpc>
              <a:spcPct val="115000"/>
            </a:lnSpc>
            <a:spcAft>
              <a:spcPts val="600"/>
            </a:spcAft>
          </a:pPr>
          <a:r>
            <a:rPr lang="en-US" sz="1000">
              <a:effectLst/>
              <a:latin typeface="Arial" panose="020B0604020202020204" pitchFamily="34" charset="0"/>
              <a:ea typeface="Arial" panose="020B0604020202020204" pitchFamily="34" charset="0"/>
            </a:rPr>
            <a:t>  </a:t>
          </a:r>
          <a:endParaRPr lang="en-AU" sz="1000">
            <a:effectLst/>
            <a:latin typeface="Arial" panose="020B0604020202020204" pitchFamily="34" charset="0"/>
            <a:ea typeface="Arial" panose="020B0604020202020204" pitchFamily="34" charset="0"/>
          </a:endParaRPr>
        </a:p>
      </xdr:txBody>
    </xdr:sp>
    <xdr:clientData/>
  </xdr:twoCellAnchor>
  <xdr:twoCellAnchor editAs="oneCell">
    <xdr:from>
      <xdr:col>0</xdr:col>
      <xdr:colOff>0</xdr:colOff>
      <xdr:row>0</xdr:row>
      <xdr:rowOff>9525</xdr:rowOff>
    </xdr:from>
    <xdr:to>
      <xdr:col>8</xdr:col>
      <xdr:colOff>363220</xdr:colOff>
      <xdr:row>26</xdr:row>
      <xdr:rowOff>31116</xdr:rowOff>
    </xdr:to>
    <xdr:pic>
      <xdr:nvPicPr>
        <xdr:cNvPr id="8" name="Picture 7">
          <a:extLst>
            <a:ext uri="{FF2B5EF4-FFF2-40B4-BE49-F238E27FC236}">
              <a16:creationId xmlns:a16="http://schemas.microsoft.com/office/drawing/2014/main" id="{E64495DF-06E9-495B-B14A-AA0ABBA872F8}"/>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2155" b="23683"/>
        <a:stretch/>
      </xdr:blipFill>
      <xdr:spPr bwMode="auto">
        <a:xfrm>
          <a:off x="0" y="9525"/>
          <a:ext cx="4925695" cy="4733291"/>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rba.gov.au/publications/smp/2022/nov/forecasts.html" TargetMode="External"/><Relationship Id="rId2" Type="http://schemas.openxmlformats.org/officeDocument/2006/relationships/hyperlink" Target="https://www.rba.gov.au/publications/smp/2022/nov/forecasts.html" TargetMode="External"/><Relationship Id="rId1" Type="http://schemas.openxmlformats.org/officeDocument/2006/relationships/hyperlink" Target="https://www.rba.gov.au/publications/smp/2022/nov/forecasts.html"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FAF7C-CCE3-43DD-BEDE-C5456CE70920}">
  <dimension ref="B27:H35"/>
  <sheetViews>
    <sheetView showGridLines="0" tabSelected="1" workbookViewId="0"/>
  </sheetViews>
  <sheetFormatPr defaultRowHeight="14.5" x14ac:dyDescent="0.35"/>
  <cols>
    <col min="1" max="1" width="4.1796875" customWidth="1"/>
  </cols>
  <sheetData>
    <row r="27" spans="2:8" x14ac:dyDescent="0.35">
      <c r="B27" s="200">
        <v>45260</v>
      </c>
      <c r="C27" s="200"/>
    </row>
    <row r="29" spans="2:8" ht="17.5" x14ac:dyDescent="0.35">
      <c r="B29" s="190" t="s">
        <v>0</v>
      </c>
    </row>
    <row r="31" spans="2:8" ht="14.75" customHeight="1" x14ac:dyDescent="0.35">
      <c r="B31" s="201" t="s">
        <v>1</v>
      </c>
      <c r="C31" s="201"/>
      <c r="D31" s="201"/>
      <c r="E31" s="201"/>
      <c r="F31" s="201"/>
      <c r="G31" s="201"/>
      <c r="H31" s="201"/>
    </row>
    <row r="32" spans="2:8" ht="14.75" customHeight="1" x14ac:dyDescent="0.35">
      <c r="B32" s="201"/>
      <c r="C32" s="201"/>
      <c r="D32" s="201"/>
      <c r="E32" s="201"/>
      <c r="F32" s="201"/>
      <c r="G32" s="201"/>
      <c r="H32" s="201"/>
    </row>
    <row r="33" spans="2:8" ht="14.75" customHeight="1" x14ac:dyDescent="0.35">
      <c r="B33" s="201"/>
      <c r="C33" s="201"/>
      <c r="D33" s="201"/>
      <c r="E33" s="201"/>
      <c r="F33" s="201"/>
      <c r="G33" s="201"/>
      <c r="H33" s="201"/>
    </row>
    <row r="34" spans="2:8" ht="14.75" customHeight="1" x14ac:dyDescent="0.35">
      <c r="B34" s="201"/>
      <c r="C34" s="201"/>
      <c r="D34" s="201"/>
      <c r="E34" s="201"/>
      <c r="F34" s="201"/>
      <c r="G34" s="201"/>
      <c r="H34" s="201"/>
    </row>
    <row r="35" spans="2:8" x14ac:dyDescent="0.35">
      <c r="B35" s="201"/>
      <c r="C35" s="201"/>
      <c r="D35" s="201"/>
      <c r="E35" s="201"/>
      <c r="F35" s="201"/>
      <c r="G35" s="201"/>
      <c r="H35" s="201"/>
    </row>
  </sheetData>
  <sheetProtection selectLockedCells="1"/>
  <mergeCells count="2">
    <mergeCell ref="B27:C27"/>
    <mergeCell ref="B31:H35"/>
  </mergeCells>
  <pageMargins left="0.7" right="0.7" top="0.75" bottom="0.75" header="0.3" footer="0.3"/>
  <pageSetup paperSize="9" orientation="portrait" r:id="rId1"/>
  <headerFooter>
    <oddFooter>&amp;L&amp;1#&amp;"Calibri"&amp;8&amp;K000000For Official use only</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66CD9-62E3-476A-97F5-3A1B48BC0245}">
  <sheetPr codeName="Sheet1">
    <tabColor theme="1"/>
  </sheetPr>
  <dimension ref="A1:AL26"/>
  <sheetViews>
    <sheetView showGridLines="0" zoomScale="75" zoomScaleNormal="75" workbookViewId="0"/>
  </sheetViews>
  <sheetFormatPr defaultColWidth="0" defaultRowHeight="14.5" zeroHeight="1" x14ac:dyDescent="0.35"/>
  <cols>
    <col min="1" max="2" width="1.1796875" customWidth="1"/>
    <col min="3" max="3" width="30.54296875" bestFit="1" customWidth="1"/>
    <col min="4" max="4" width="113.1796875" customWidth="1"/>
    <col min="5" max="5" width="4.453125" customWidth="1"/>
    <col min="6" max="38" width="0" hidden="1" customWidth="1"/>
    <col min="39" max="16384" width="8.81640625" hidden="1"/>
  </cols>
  <sheetData>
    <row r="1" spans="1:30" s="1" customFormat="1" ht="15.5" x14ac:dyDescent="0.35">
      <c r="B1" s="2" t="s">
        <v>2</v>
      </c>
      <c r="C1" s="2"/>
      <c r="D1" s="2"/>
      <c r="E1" s="2"/>
      <c r="F1" s="3"/>
      <c r="G1" s="3"/>
      <c r="H1" s="3"/>
      <c r="I1" s="3"/>
      <c r="J1" s="3"/>
      <c r="K1" s="3"/>
      <c r="L1" s="3"/>
      <c r="M1" s="3"/>
      <c r="N1" s="3"/>
      <c r="O1" s="3"/>
      <c r="P1" s="3"/>
      <c r="Q1" s="3"/>
      <c r="R1" s="3"/>
      <c r="S1" s="3"/>
      <c r="T1" s="3"/>
      <c r="U1" s="3"/>
      <c r="V1" s="3"/>
    </row>
    <row r="2" spans="1:30" s="7" customFormat="1" ht="13.5" thickBot="1" x14ac:dyDescent="0.35">
      <c r="B2" s="8" t="s">
        <v>3</v>
      </c>
      <c r="C2" s="8"/>
      <c r="D2" s="8"/>
      <c r="E2" s="8"/>
      <c r="F2" s="9"/>
      <c r="G2" s="9"/>
      <c r="H2" s="9"/>
      <c r="I2" s="9"/>
    </row>
    <row r="3" spans="1:30" s="10" customFormat="1" ht="3" customHeight="1" thickBot="1" x14ac:dyDescent="0.35">
      <c r="D3" s="11"/>
      <c r="E3" s="11"/>
      <c r="F3" s="9"/>
      <c r="G3" s="9"/>
      <c r="H3" s="9"/>
      <c r="I3" s="9"/>
      <c r="J3" s="7"/>
      <c r="K3" s="7"/>
      <c r="L3" s="7"/>
      <c r="M3" s="7"/>
      <c r="N3" s="7"/>
      <c r="O3" s="7"/>
      <c r="P3" s="7"/>
      <c r="Q3" s="7"/>
      <c r="R3" s="7"/>
      <c r="S3" s="7"/>
      <c r="T3" s="7"/>
      <c r="U3" s="7"/>
      <c r="V3" s="7"/>
      <c r="W3" s="7"/>
    </row>
    <row r="4" spans="1:30" s="19" customFormat="1" ht="13.5" thickBot="1" x14ac:dyDescent="0.35">
      <c r="A4" s="12"/>
      <c r="B4" s="13" t="s">
        <v>4</v>
      </c>
      <c r="C4" s="12"/>
      <c r="D4" s="12"/>
      <c r="E4" s="12"/>
      <c r="F4" s="9"/>
      <c r="G4" s="9"/>
      <c r="H4" s="9"/>
      <c r="I4" s="9"/>
      <c r="J4" s="7"/>
      <c r="K4" s="7"/>
      <c r="L4" s="7"/>
      <c r="M4" s="7"/>
      <c r="N4" s="7"/>
      <c r="O4" s="7"/>
      <c r="P4" s="7"/>
      <c r="Q4" s="7"/>
      <c r="R4" s="7"/>
      <c r="S4" s="7"/>
      <c r="T4" s="7"/>
      <c r="U4" s="7"/>
      <c r="V4" s="7"/>
      <c r="W4" s="7"/>
      <c r="X4" s="17"/>
      <c r="Y4" s="17"/>
      <c r="Z4" s="17"/>
      <c r="AA4" s="17"/>
      <c r="AB4" s="17"/>
      <c r="AC4" s="18"/>
      <c r="AD4" s="18"/>
    </row>
    <row r="5" spans="1:30" x14ac:dyDescent="0.35"/>
    <row r="6" spans="1:30" x14ac:dyDescent="0.35">
      <c r="B6" s="22"/>
      <c r="C6" s="22" t="s">
        <v>5</v>
      </c>
      <c r="D6" s="119" t="s">
        <v>6</v>
      </c>
    </row>
    <row r="7" spans="1:30" x14ac:dyDescent="0.35">
      <c r="C7" s="152" t="s">
        <v>7</v>
      </c>
      <c r="D7" s="150" t="s">
        <v>8</v>
      </c>
    </row>
    <row r="8" spans="1:30" x14ac:dyDescent="0.35">
      <c r="C8" s="152" t="s">
        <v>9</v>
      </c>
      <c r="D8" s="150" t="s">
        <v>10</v>
      </c>
    </row>
    <row r="9" spans="1:30" x14ac:dyDescent="0.35">
      <c r="C9" s="152" t="s">
        <v>11</v>
      </c>
      <c r="D9" s="150" t="s">
        <v>12</v>
      </c>
    </row>
    <row r="10" spans="1:30" x14ac:dyDescent="0.35">
      <c r="C10" s="152" t="s">
        <v>13</v>
      </c>
      <c r="D10" s="150" t="s">
        <v>14</v>
      </c>
    </row>
    <row r="11" spans="1:30" x14ac:dyDescent="0.35">
      <c r="C11" s="152" t="s">
        <v>15</v>
      </c>
      <c r="D11" s="150" t="s">
        <v>16</v>
      </c>
    </row>
    <row r="12" spans="1:30" x14ac:dyDescent="0.35">
      <c r="C12" s="152" t="s">
        <v>17</v>
      </c>
      <c r="D12" s="150" t="s">
        <v>18</v>
      </c>
    </row>
    <row r="13" spans="1:30" x14ac:dyDescent="0.35">
      <c r="C13" s="152" t="s">
        <v>19</v>
      </c>
      <c r="D13" s="150" t="s">
        <v>20</v>
      </c>
    </row>
    <row r="14" spans="1:30" x14ac:dyDescent="0.35">
      <c r="C14" s="152" t="s">
        <v>21</v>
      </c>
      <c r="D14" s="150" t="s">
        <v>22</v>
      </c>
    </row>
    <row r="15" spans="1:30" x14ac:dyDescent="0.35">
      <c r="C15" s="152" t="s">
        <v>23</v>
      </c>
      <c r="D15" s="150" t="s">
        <v>24</v>
      </c>
    </row>
    <row r="16" spans="1:30" x14ac:dyDescent="0.35">
      <c r="C16" s="152" t="s">
        <v>25</v>
      </c>
      <c r="D16" s="150" t="s">
        <v>26</v>
      </c>
    </row>
    <row r="17" spans="1:30" x14ac:dyDescent="0.35">
      <c r="C17" s="152" t="s">
        <v>27</v>
      </c>
      <c r="D17" s="150" t="s">
        <v>28</v>
      </c>
    </row>
    <row r="18" spans="1:30" x14ac:dyDescent="0.35">
      <c r="C18" s="152" t="s">
        <v>29</v>
      </c>
      <c r="D18" s="150" t="s">
        <v>30</v>
      </c>
    </row>
    <row r="19" spans="1:30" x14ac:dyDescent="0.35">
      <c r="C19" s="152" t="s">
        <v>31</v>
      </c>
      <c r="D19" s="150" t="s">
        <v>32</v>
      </c>
    </row>
    <row r="20" spans="1:30" x14ac:dyDescent="0.35">
      <c r="C20" s="152" t="s">
        <v>33</v>
      </c>
      <c r="D20" s="150" t="s">
        <v>34</v>
      </c>
    </row>
    <row r="21" spans="1:30" x14ac:dyDescent="0.35">
      <c r="C21" s="152" t="s">
        <v>35</v>
      </c>
      <c r="D21" s="150" t="s">
        <v>36</v>
      </c>
    </row>
    <row r="22" spans="1:30" x14ac:dyDescent="0.35">
      <c r="C22" s="152" t="s">
        <v>37</v>
      </c>
      <c r="D22" s="150" t="s">
        <v>38</v>
      </c>
    </row>
    <row r="23" spans="1:30" x14ac:dyDescent="0.35">
      <c r="C23" s="152" t="s">
        <v>39</v>
      </c>
      <c r="D23" s="150" t="s">
        <v>40</v>
      </c>
    </row>
    <row r="24" spans="1:30" x14ac:dyDescent="0.35">
      <c r="C24" s="151"/>
      <c r="D24" s="151"/>
    </row>
    <row r="25" spans="1:30" x14ac:dyDescent="0.35">
      <c r="C25" s="151"/>
      <c r="D25" s="151"/>
    </row>
    <row r="26" spans="1:30" s="19" customFormat="1" ht="13.5" thickBot="1" x14ac:dyDescent="0.35">
      <c r="A26" s="12"/>
      <c r="B26" s="13" t="s">
        <v>41</v>
      </c>
      <c r="C26" s="12"/>
      <c r="D26" s="12"/>
      <c r="E26" s="12"/>
      <c r="F26" s="9"/>
      <c r="G26" s="9"/>
      <c r="H26" s="9"/>
      <c r="I26" s="9"/>
      <c r="J26" s="7"/>
      <c r="K26" s="7"/>
      <c r="L26" s="7"/>
      <c r="M26" s="7"/>
      <c r="N26" s="7"/>
      <c r="O26" s="7"/>
      <c r="P26" s="7"/>
      <c r="Q26" s="7"/>
      <c r="R26" s="7"/>
      <c r="S26" s="7"/>
      <c r="T26" s="7"/>
      <c r="U26" s="7"/>
      <c r="V26" s="7"/>
      <c r="W26" s="7"/>
      <c r="X26" s="17"/>
      <c r="Y26" s="17"/>
      <c r="Z26" s="17"/>
      <c r="AA26" s="17"/>
      <c r="AB26" s="17"/>
      <c r="AC26" s="18"/>
      <c r="AD26" s="18"/>
    </row>
  </sheetData>
  <hyperlinks>
    <hyperlink ref="C7" location="'Input|General'!A1" display="Input|General" xr:uid="{83CA5FE6-277E-4225-8EF8-CDADF586A360}"/>
    <hyperlink ref="C8" location="'Input|Inflation'!A1" display="Input|Inflation" xr:uid="{8D72E32A-CFD1-4E63-A97D-27DC39939D5C}"/>
    <hyperlink ref="C9" location="'Calc|CPI Indexes'!A1" display="Calc|CPI Indexes" xr:uid="{58709D29-E539-4944-AD09-6A636DFB3FD0}"/>
    <hyperlink ref="C10" location="'Calc|Cyber security'!A1" display="Calc|Cyber security" xr:uid="{725052C2-2C77-4A18-8548-9EE1A8C276E4}"/>
    <hyperlink ref="C11" location="'Calc|Insurance premiums'!A1" display="Calc|Insurance premiums" xr:uid="{7A1BE8A5-9D6C-449C-BADB-794EFCBFD43C}"/>
    <hyperlink ref="C12" location="'Calc|Community resilience'!A1" display="Calc|Community resilience" xr:uid="{27A55697-6263-487C-813C-3AF4FDBA0A87}"/>
    <hyperlink ref="C13" location="'Calc|Smart meter data'!A1" display="Calc|Smart meter data" xr:uid="{087CF4A7-0699-4753-AE05-607F96721020}"/>
    <hyperlink ref="C14" location="'Calc|Network innovation program'!A1" display="Calc|Network innovation program" xr:uid="{30FBBC26-A043-4A45-9760-8FFC68D0B2F3}"/>
    <hyperlink ref="C15" location="'Calc|ICT enablement for CER'!A1" display="Calc|ICT enablement for CER" xr:uid="{E210386D-0FAC-4A32-927A-BFD25670B9B4}"/>
    <hyperlink ref="C16" location="'Calc|Property'!A1" display="Calc|Property" xr:uid="{9FBE3E7D-2FCE-46AB-AB1D-24D3DA5FFD51}"/>
    <hyperlink ref="C17" location="'Calc|BY Adj SaaS'!A1" display="Calc|BY Adj SaaS" xr:uid="{0EC67B1A-2CD8-4BCB-9F5E-A31D48312CCE}"/>
    <hyperlink ref="C18" location="'Calc|BY Adj CAM adjustment'!A1" display="Calc|BY Adj CAM adjusment" xr:uid="{26F24909-8838-43EB-B09A-C68BCF3D26FB}"/>
    <hyperlink ref="C19" location="'Calc|BY Adj Nature induced cost'!A1" display="Calc|BY Adj Nature induced cost" xr:uid="{F2E7F137-09C2-4BB1-8B4F-F0B7F2091A12}"/>
    <hyperlink ref="C20" location="'Output|Step Changes'!A1" display="Output|Step Changes" xr:uid="{99617480-6FEA-4281-8224-7BFDA0B679C0}"/>
    <hyperlink ref="C22" location="'Output|Base Year Adjustments'!A1" display="Output|Base Year Adjustments" xr:uid="{9E5FCA44-786F-4E66-9F9C-E623D514CE8D}"/>
    <hyperlink ref="C23" location="'Lookup|Tables'!A1" display="Lookup|Tables" xr:uid="{AA158C70-18E5-4E2F-BEB1-050E01178F9C}"/>
    <hyperlink ref="C21" location="'Output|Category Specific'!A1" display="Output|Category Specific" xr:uid="{5DAA2F0A-A42A-430D-9927-A0D374B09147}"/>
  </hyperlinks>
  <pageMargins left="0.7" right="0.7" top="0.75" bottom="0.75" header="0.3" footer="0.3"/>
  <pageSetup paperSize="9" orientation="portrait" r:id="rId1"/>
  <headerFooter>
    <oddFooter>&amp;L&amp;1#&amp;"Calibri"&amp;8&amp;K000000For Official use only</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E9520-3D40-4818-A5FE-833858807C9D}">
  <sheetPr codeName="Sheet2">
    <tabColor rgb="FFFFFF99"/>
  </sheetPr>
  <dimension ref="A1:AD26"/>
  <sheetViews>
    <sheetView showGridLines="0" zoomScale="75" zoomScaleNormal="75" workbookViewId="0"/>
  </sheetViews>
  <sheetFormatPr defaultColWidth="0" defaultRowHeight="10.25" customHeight="1" zeroHeight="1" x14ac:dyDescent="0.2"/>
  <cols>
    <col min="1" max="2" width="1.1796875" style="20" customWidth="1"/>
    <col min="3" max="3" width="34.453125" style="20" customWidth="1"/>
    <col min="4" max="4" width="9.1796875" style="21" customWidth="1"/>
    <col min="5" max="6" width="2.81640625" style="21" customWidth="1"/>
    <col min="7" max="7" width="13.1796875" style="21" bestFit="1" customWidth="1"/>
    <col min="8" max="9" width="2.81640625" style="21" customWidth="1"/>
    <col min="10" max="23" width="8.81640625" style="20" customWidth="1"/>
    <col min="24" max="38" width="8.54296875" style="20" hidden="1" customWidth="1"/>
    <col min="39" max="16384" width="8.54296875" style="20" hidden="1"/>
  </cols>
  <sheetData>
    <row r="1" spans="1:30" s="1" customFormat="1" ht="15.5" x14ac:dyDescent="0.35">
      <c r="B1" s="2" t="s">
        <v>42</v>
      </c>
      <c r="C1" s="2"/>
      <c r="D1" s="2"/>
      <c r="E1" s="2"/>
      <c r="F1" s="3"/>
      <c r="G1" s="3"/>
      <c r="H1" s="3"/>
      <c r="I1" s="3"/>
      <c r="J1" s="3"/>
      <c r="K1" s="3"/>
      <c r="L1" s="3"/>
      <c r="M1" s="3"/>
      <c r="N1" s="3"/>
      <c r="O1" s="3"/>
      <c r="P1" s="3"/>
      <c r="Q1" s="3"/>
      <c r="R1" s="3"/>
      <c r="S1" s="3"/>
      <c r="T1" s="3"/>
      <c r="U1" s="3"/>
      <c r="V1" s="3"/>
    </row>
    <row r="2" spans="1:30" s="7" customFormat="1" ht="13.5" thickBot="1" x14ac:dyDescent="0.35">
      <c r="B2" s="8" t="s">
        <v>43</v>
      </c>
      <c r="C2" s="8"/>
      <c r="D2" s="8"/>
      <c r="E2" s="8"/>
      <c r="F2" s="9"/>
      <c r="G2" s="9"/>
      <c r="H2" s="9"/>
      <c r="I2" s="9"/>
    </row>
    <row r="3" spans="1:30" s="10" customFormat="1" ht="3" customHeight="1" x14ac:dyDescent="0.2">
      <c r="D3" s="11"/>
      <c r="E3" s="11"/>
      <c r="F3" s="11"/>
      <c r="G3" s="11"/>
      <c r="H3" s="11"/>
      <c r="I3" s="11"/>
    </row>
    <row r="4" spans="1:30" s="19" customFormat="1" ht="13" x14ac:dyDescent="0.3">
      <c r="A4" s="12"/>
      <c r="B4" s="13" t="s">
        <v>44</v>
      </c>
      <c r="C4" s="12"/>
      <c r="D4" s="12"/>
      <c r="E4" s="12"/>
      <c r="F4" s="14"/>
      <c r="G4" s="14"/>
      <c r="H4" s="14"/>
      <c r="I4" s="14"/>
      <c r="J4" s="15"/>
      <c r="K4" s="16"/>
      <c r="L4" s="15"/>
      <c r="M4" s="16"/>
      <c r="N4" s="15"/>
      <c r="O4" s="15"/>
      <c r="P4" s="15"/>
      <c r="Q4" s="15"/>
      <c r="R4" s="15"/>
      <c r="S4" s="15"/>
      <c r="T4" s="15"/>
      <c r="U4" s="15"/>
      <c r="V4" s="16"/>
      <c r="W4" s="16"/>
      <c r="X4" s="17"/>
      <c r="Y4" s="17"/>
      <c r="Z4" s="17"/>
      <c r="AA4" s="17"/>
      <c r="AB4" s="17"/>
      <c r="AC4" s="18"/>
      <c r="AD4" s="18"/>
    </row>
    <row r="5" spans="1:30" ht="10" x14ac:dyDescent="0.2"/>
    <row r="6" spans="1:30" ht="10" x14ac:dyDescent="0.2"/>
    <row r="7" spans="1:30" ht="10.5" x14ac:dyDescent="0.25">
      <c r="C7" s="22" t="s">
        <v>5</v>
      </c>
      <c r="D7" s="23" t="s">
        <v>45</v>
      </c>
      <c r="E7" s="23"/>
      <c r="F7" s="24"/>
      <c r="G7" s="24" t="s">
        <v>46</v>
      </c>
      <c r="H7" s="24"/>
      <c r="I7" s="20"/>
    </row>
    <row r="8" spans="1:30" ht="10" x14ac:dyDescent="0.2">
      <c r="C8" s="20" t="s">
        <v>47</v>
      </c>
      <c r="D8" s="21" t="s">
        <v>48</v>
      </c>
      <c r="E8" s="20"/>
      <c r="F8" s="20"/>
      <c r="G8" s="25" t="s">
        <v>49</v>
      </c>
      <c r="H8" s="20"/>
      <c r="I8" s="20"/>
    </row>
    <row r="9" spans="1:30" ht="10" x14ac:dyDescent="0.2">
      <c r="C9" s="20" t="s">
        <v>50</v>
      </c>
      <c r="D9" s="21" t="s">
        <v>48</v>
      </c>
      <c r="E9" s="20"/>
      <c r="F9" s="20"/>
      <c r="G9" s="26">
        <v>36678</v>
      </c>
      <c r="H9" s="20"/>
      <c r="I9" s="20"/>
    </row>
    <row r="10" spans="1:30" ht="10" x14ac:dyDescent="0.2">
      <c r="C10" s="20" t="s">
        <v>51</v>
      </c>
      <c r="D10" s="21" t="s">
        <v>48</v>
      </c>
      <c r="E10" s="20"/>
      <c r="F10" s="20"/>
      <c r="G10" s="27">
        <v>2020</v>
      </c>
      <c r="H10" s="20"/>
      <c r="I10" s="20"/>
    </row>
    <row r="11" spans="1:30" ht="10" x14ac:dyDescent="0.2">
      <c r="C11" s="20" t="s">
        <v>52</v>
      </c>
      <c r="D11" s="21" t="s">
        <v>48</v>
      </c>
      <c r="E11" s="20"/>
      <c r="F11" s="20"/>
      <c r="G11" s="27">
        <v>2023</v>
      </c>
      <c r="H11" s="20"/>
      <c r="I11" s="20"/>
    </row>
    <row r="12" spans="1:30" ht="10" x14ac:dyDescent="0.2">
      <c r="C12" s="20" t="s">
        <v>53</v>
      </c>
      <c r="D12" s="21" t="s">
        <v>48</v>
      </c>
      <c r="E12" s="20"/>
      <c r="F12" s="20"/>
      <c r="G12" s="27">
        <v>2024</v>
      </c>
      <c r="H12" s="20"/>
      <c r="I12" s="20"/>
    </row>
    <row r="13" spans="1:30" ht="10" x14ac:dyDescent="0.2">
      <c r="C13" s="20" t="s">
        <v>54</v>
      </c>
      <c r="D13" s="21" t="s">
        <v>48</v>
      </c>
      <c r="E13" s="20"/>
      <c r="F13" s="20"/>
      <c r="G13" s="27">
        <v>2025</v>
      </c>
      <c r="H13" s="20"/>
      <c r="I13" s="20"/>
    </row>
    <row r="14" spans="1:30" ht="10" x14ac:dyDescent="0.2">
      <c r="C14" s="20" t="s">
        <v>55</v>
      </c>
      <c r="D14" s="21" t="s">
        <v>48</v>
      </c>
      <c r="E14" s="20"/>
      <c r="F14" s="20"/>
      <c r="G14" s="27">
        <v>2029</v>
      </c>
      <c r="H14" s="20"/>
      <c r="I14" s="20"/>
    </row>
    <row r="15" spans="1:30" ht="10" x14ac:dyDescent="0.2">
      <c r="D15" s="20"/>
      <c r="E15" s="20"/>
      <c r="F15" s="20"/>
      <c r="G15" s="20"/>
      <c r="H15" s="20"/>
      <c r="I15" s="20"/>
    </row>
    <row r="16" spans="1:30" s="19" customFormat="1" ht="13" x14ac:dyDescent="0.3">
      <c r="A16" s="12"/>
      <c r="B16" s="13" t="s">
        <v>41</v>
      </c>
      <c r="C16" s="12"/>
      <c r="D16" s="12"/>
      <c r="E16" s="12"/>
      <c r="F16" s="14"/>
      <c r="G16" s="14"/>
      <c r="H16" s="14"/>
      <c r="I16" s="14"/>
      <c r="J16" s="15"/>
      <c r="K16" s="16"/>
      <c r="L16" s="15"/>
      <c r="M16" s="16"/>
      <c r="N16" s="15"/>
      <c r="O16" s="15"/>
      <c r="P16" s="15"/>
      <c r="Q16" s="15"/>
      <c r="R16" s="15"/>
      <c r="S16" s="15"/>
      <c r="T16" s="15"/>
      <c r="U16" s="15"/>
      <c r="V16" s="16"/>
      <c r="W16" s="16"/>
      <c r="X16" s="17"/>
      <c r="Y16" s="17"/>
      <c r="Z16" s="17"/>
      <c r="AA16" s="17"/>
      <c r="AB16" s="17"/>
      <c r="AC16" s="18"/>
      <c r="AD16" s="18"/>
    </row>
    <row r="17" spans="7:8" ht="10" hidden="1" x14ac:dyDescent="0.2">
      <c r="G17" s="23"/>
      <c r="H17" s="23"/>
    </row>
    <row r="18" spans="7:8" ht="10" hidden="1" x14ac:dyDescent="0.2">
      <c r="G18" s="23"/>
      <c r="H18" s="23"/>
    </row>
    <row r="19" spans="7:8" ht="10" hidden="1" x14ac:dyDescent="0.2">
      <c r="G19" s="23"/>
      <c r="H19" s="23"/>
    </row>
    <row r="20" spans="7:8" ht="10" hidden="1" x14ac:dyDescent="0.2">
      <c r="G20" s="23"/>
      <c r="H20" s="23"/>
    </row>
    <row r="21" spans="7:8" ht="10" hidden="1" x14ac:dyDescent="0.2">
      <c r="G21" s="23"/>
      <c r="H21" s="23"/>
    </row>
    <row r="22" spans="7:8" ht="10" hidden="1" x14ac:dyDescent="0.2">
      <c r="G22" s="23"/>
      <c r="H22" s="23"/>
    </row>
    <row r="23" spans="7:8" ht="10" hidden="1" x14ac:dyDescent="0.2">
      <c r="G23" s="23"/>
      <c r="H23" s="23"/>
    </row>
    <row r="24" spans="7:8" ht="10" hidden="1" x14ac:dyDescent="0.2">
      <c r="G24" s="23"/>
      <c r="H24" s="23"/>
    </row>
    <row r="25" spans="7:8" ht="10" hidden="1" x14ac:dyDescent="0.2">
      <c r="G25" s="23"/>
      <c r="H25" s="23"/>
    </row>
    <row r="26" spans="7:8" ht="10" hidden="1" x14ac:dyDescent="0.2">
      <c r="G26" s="23"/>
      <c r="H26" s="23"/>
    </row>
  </sheetData>
  <dataConsolidate/>
  <dataValidations count="2">
    <dataValidation type="list" allowBlank="1" showInputMessage="1" showErrorMessage="1" sqref="F12:F13 I12:I15" xr:uid="{49373D6D-2DBB-4722-904F-411DDF613558}">
      <formula1>#REF!</formula1>
    </dataValidation>
    <dataValidation type="list" allowBlank="1" showInputMessage="1" showErrorMessage="1" sqref="F14:F15" xr:uid="{A0F2E6C6-275C-411E-9726-7389381C6647}">
      <formula1>"Real 2010,Real 2011,Real 2012,Real 2013,Real 2014,Real 2015,Nominal"</formula1>
    </dataValidation>
  </dataValidations>
  <pageMargins left="0.7" right="0.7" top="0.75" bottom="0.75" header="0.3" footer="0.3"/>
  <pageSetup paperSize="9" orientation="portrait" verticalDpi="4" r:id="rId1"/>
  <headerFooter>
    <oddFooter>&amp;L&amp;1#&amp;"Calibri"&amp;8&amp;K000000For Official use only</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E5BD0-2414-4431-827A-A8C1453D454C}">
  <sheetPr codeName="Sheet5">
    <tabColor rgb="FFFFFF99"/>
  </sheetPr>
  <dimension ref="A1:AX110"/>
  <sheetViews>
    <sheetView showGridLines="0" zoomScale="112" zoomScaleNormal="112" workbookViewId="0"/>
  </sheetViews>
  <sheetFormatPr defaultColWidth="0" defaultRowHeight="10" zeroHeight="1" x14ac:dyDescent="0.2"/>
  <cols>
    <col min="1" max="2" width="1.1796875" style="20" customWidth="1"/>
    <col min="3" max="3" width="9.54296875" style="20" bestFit="1" customWidth="1"/>
    <col min="4" max="4" width="17.54296875" style="21" bestFit="1" customWidth="1"/>
    <col min="5" max="5" width="17.54296875" style="21" customWidth="1"/>
    <col min="6" max="9" width="12.1796875" style="21" customWidth="1"/>
    <col min="10" max="12" width="2.81640625" style="21" customWidth="1"/>
    <col min="13" max="26" width="8.81640625" style="20" customWidth="1"/>
    <col min="27" max="41" width="8.54296875" style="20" hidden="1" customWidth="1"/>
    <col min="42" max="16384" width="8.54296875" style="20" hidden="1"/>
  </cols>
  <sheetData>
    <row r="1" spans="1:33" s="1" customFormat="1" ht="15.5" x14ac:dyDescent="0.35">
      <c r="B1" s="2" t="s">
        <v>56</v>
      </c>
      <c r="C1" s="2"/>
      <c r="D1" s="2"/>
      <c r="E1" s="2"/>
      <c r="F1" s="2"/>
      <c r="G1" s="2"/>
      <c r="H1" s="2"/>
      <c r="I1" s="3"/>
      <c r="J1" s="3"/>
      <c r="K1" s="3"/>
      <c r="L1" s="3"/>
      <c r="M1" s="134" t="s">
        <v>57</v>
      </c>
      <c r="O1" s="4" t="s">
        <v>58</v>
      </c>
      <c r="P1" s="5" t="s">
        <v>59</v>
      </c>
      <c r="Q1" s="135" t="s">
        <v>60</v>
      </c>
      <c r="R1" s="6" t="s">
        <v>61</v>
      </c>
      <c r="U1" s="4" t="s">
        <v>62</v>
      </c>
      <c r="V1" s="136" t="str">
        <f>IF(COUNTA($V$5:$V$99)=COUNTIF($V5:$V100,"OK"),"OK","Check")</f>
        <v>OK</v>
      </c>
      <c r="X1" s="137" t="s">
        <v>63</v>
      </c>
      <c r="Y1" s="136" t="s">
        <v>64</v>
      </c>
    </row>
    <row r="2" spans="1:33" s="7" customFormat="1" ht="13.5" thickBot="1" x14ac:dyDescent="0.35">
      <c r="B2" s="8" t="s">
        <v>43</v>
      </c>
      <c r="C2" s="8"/>
      <c r="D2" s="8"/>
      <c r="E2" s="8"/>
      <c r="F2" s="8"/>
      <c r="G2" s="8"/>
      <c r="H2" s="8"/>
      <c r="I2" s="9"/>
      <c r="J2" s="9"/>
      <c r="K2" s="9"/>
      <c r="L2" s="9"/>
    </row>
    <row r="3" spans="1:33" s="10" customFormat="1" ht="3" customHeight="1" x14ac:dyDescent="0.2">
      <c r="D3" s="11"/>
      <c r="E3" s="11"/>
      <c r="F3" s="11"/>
      <c r="G3" s="11"/>
      <c r="H3" s="11"/>
      <c r="I3" s="11"/>
      <c r="J3" s="11"/>
      <c r="K3" s="11"/>
      <c r="L3" s="11"/>
    </row>
    <row r="4" spans="1:33" s="19" customFormat="1" ht="13" x14ac:dyDescent="0.3">
      <c r="A4" s="12"/>
      <c r="B4" s="13" t="s">
        <v>44</v>
      </c>
      <c r="C4" s="12"/>
      <c r="D4" s="12"/>
      <c r="E4" s="12"/>
      <c r="F4" s="12"/>
      <c r="G4" s="12"/>
      <c r="H4" s="12"/>
      <c r="I4" s="14"/>
      <c r="J4" s="14"/>
      <c r="K4" s="14"/>
      <c r="L4" s="14"/>
      <c r="M4" s="15"/>
      <c r="N4" s="16"/>
      <c r="O4" s="15"/>
      <c r="P4" s="16"/>
      <c r="Q4" s="15"/>
      <c r="R4" s="15"/>
      <c r="S4" s="15"/>
      <c r="T4" s="15"/>
      <c r="U4" s="15"/>
      <c r="V4" s="15"/>
      <c r="W4" s="15"/>
      <c r="X4" s="15"/>
      <c r="Y4" s="16"/>
      <c r="Z4" s="16"/>
      <c r="AA4" s="17"/>
      <c r="AB4" s="17"/>
      <c r="AC4" s="17"/>
      <c r="AD4" s="17"/>
      <c r="AE4" s="17"/>
      <c r="AF4" s="18"/>
      <c r="AG4" s="18"/>
    </row>
    <row r="5" spans="1:33" ht="11.25" customHeight="1" x14ac:dyDescent="0.2"/>
    <row r="6" spans="1:33" ht="50" x14ac:dyDescent="0.2">
      <c r="D6" s="28" t="s">
        <v>65</v>
      </c>
      <c r="E6" s="28" t="s">
        <v>66</v>
      </c>
      <c r="F6" s="28" t="s">
        <v>65</v>
      </c>
      <c r="G6" s="28" t="s">
        <v>67</v>
      </c>
      <c r="H6" s="28" t="s">
        <v>68</v>
      </c>
      <c r="I6" s="28" t="s">
        <v>66</v>
      </c>
      <c r="J6" s="28"/>
      <c r="K6" s="20"/>
      <c r="L6" s="20"/>
    </row>
    <row r="7" spans="1:33" ht="10.5" x14ac:dyDescent="0.25">
      <c r="C7" s="29" t="s">
        <v>45</v>
      </c>
      <c r="D7" s="30" t="s">
        <v>69</v>
      </c>
      <c r="E7" s="30" t="s">
        <v>70</v>
      </c>
      <c r="F7" s="30" t="s">
        <v>69</v>
      </c>
      <c r="G7" s="30" t="s">
        <v>71</v>
      </c>
      <c r="H7" s="30" t="s">
        <v>70</v>
      </c>
      <c r="I7" s="30" t="s">
        <v>70</v>
      </c>
      <c r="J7" s="30"/>
      <c r="K7" s="20"/>
      <c r="L7" s="20"/>
    </row>
    <row r="8" spans="1:33" ht="10.5" x14ac:dyDescent="0.25">
      <c r="C8" s="29" t="s">
        <v>72</v>
      </c>
      <c r="D8" s="30" t="s">
        <v>73</v>
      </c>
      <c r="E8" s="30" t="s">
        <v>74</v>
      </c>
      <c r="F8" s="30" t="s">
        <v>73</v>
      </c>
      <c r="G8" s="30" t="s">
        <v>74</v>
      </c>
      <c r="H8" s="30" t="s">
        <v>73</v>
      </c>
      <c r="I8" s="30" t="s">
        <v>74</v>
      </c>
      <c r="J8" s="30"/>
      <c r="K8" s="20"/>
      <c r="L8" s="20"/>
    </row>
    <row r="9" spans="1:33" ht="10.5" x14ac:dyDescent="0.25">
      <c r="C9" s="31">
        <v>39172</v>
      </c>
      <c r="D9" s="32">
        <v>155.6</v>
      </c>
      <c r="E9" s="20"/>
      <c r="F9" s="20"/>
      <c r="G9" s="20"/>
      <c r="H9" s="20"/>
      <c r="I9" s="20"/>
      <c r="J9" s="20"/>
      <c r="K9" s="20"/>
      <c r="L9" s="20"/>
      <c r="V9" s="138" t="s">
        <v>64</v>
      </c>
    </row>
    <row r="10" spans="1:33" ht="10.5" x14ac:dyDescent="0.25">
      <c r="C10" s="31">
        <v>39263</v>
      </c>
      <c r="D10" s="32">
        <v>157.5</v>
      </c>
      <c r="E10" s="20"/>
      <c r="F10" s="20"/>
      <c r="G10" s="20"/>
      <c r="H10" s="20"/>
      <c r="I10" s="20"/>
      <c r="J10" s="20"/>
      <c r="K10" s="20"/>
      <c r="L10" s="20"/>
      <c r="V10" s="138" t="s">
        <v>64</v>
      </c>
    </row>
    <row r="11" spans="1:33" ht="10.5" x14ac:dyDescent="0.25">
      <c r="C11" s="31">
        <v>39355</v>
      </c>
      <c r="D11" s="32">
        <v>158.6</v>
      </c>
      <c r="E11" s="20"/>
      <c r="F11" s="20"/>
      <c r="G11" s="20"/>
      <c r="H11" s="20"/>
      <c r="I11" s="20"/>
      <c r="J11" s="20"/>
      <c r="K11" s="20"/>
      <c r="L11" s="20"/>
      <c r="V11" s="138" t="s">
        <v>64</v>
      </c>
    </row>
    <row r="12" spans="1:33" ht="10.5" x14ac:dyDescent="0.25">
      <c r="C12" s="31">
        <v>39447</v>
      </c>
      <c r="D12" s="32">
        <v>160.1</v>
      </c>
      <c r="E12" s="20"/>
      <c r="F12" s="20"/>
      <c r="G12" s="20"/>
      <c r="H12" s="20"/>
      <c r="I12" s="33"/>
      <c r="J12" s="20"/>
      <c r="K12" s="20"/>
      <c r="L12" s="20"/>
      <c r="V12" s="138" t="s">
        <v>64</v>
      </c>
    </row>
    <row r="13" spans="1:33" ht="10.5" x14ac:dyDescent="0.25">
      <c r="C13" s="31">
        <v>39538</v>
      </c>
      <c r="D13" s="32">
        <v>162.19999999999999</v>
      </c>
      <c r="E13" s="34">
        <f>D13/D9-1</f>
        <v>4.2416452442159303E-2</v>
      </c>
      <c r="F13" s="20"/>
      <c r="G13" s="20"/>
      <c r="H13" s="20"/>
      <c r="I13" s="33"/>
      <c r="J13" s="20"/>
      <c r="K13" s="20"/>
      <c r="L13" s="20"/>
      <c r="V13" s="138" t="s">
        <v>64</v>
      </c>
    </row>
    <row r="14" spans="1:33" ht="10.5" x14ac:dyDescent="0.25">
      <c r="C14" s="31">
        <v>39629</v>
      </c>
      <c r="D14" s="32">
        <v>164.6</v>
      </c>
      <c r="E14" s="34">
        <f t="shared" ref="E14:E29" si="0">D14/D10-1</f>
        <v>4.5079365079365052E-2</v>
      </c>
      <c r="F14" s="20"/>
      <c r="G14" s="20"/>
      <c r="H14" s="20"/>
      <c r="I14" s="33"/>
      <c r="J14" s="20"/>
      <c r="K14" s="20"/>
      <c r="L14" s="20"/>
      <c r="V14" s="138" t="s">
        <v>64</v>
      </c>
    </row>
    <row r="15" spans="1:33" ht="10.5" x14ac:dyDescent="0.25">
      <c r="C15" s="31">
        <v>39721</v>
      </c>
      <c r="D15" s="32">
        <v>166.5</v>
      </c>
      <c r="E15" s="34">
        <f t="shared" si="0"/>
        <v>4.9810844892812067E-2</v>
      </c>
      <c r="F15" s="20"/>
      <c r="G15" s="20"/>
      <c r="H15" s="20"/>
      <c r="I15" s="33"/>
      <c r="J15" s="20"/>
      <c r="K15" s="20"/>
      <c r="L15" s="20"/>
      <c r="V15" s="138" t="s">
        <v>64</v>
      </c>
    </row>
    <row r="16" spans="1:33" ht="10.5" x14ac:dyDescent="0.25">
      <c r="C16" s="31">
        <v>39813</v>
      </c>
      <c r="D16" s="32">
        <v>166</v>
      </c>
      <c r="E16" s="34">
        <f t="shared" si="0"/>
        <v>3.6851967520299844E-2</v>
      </c>
      <c r="F16" s="20"/>
      <c r="G16" s="20"/>
      <c r="H16" s="20"/>
      <c r="I16" s="33"/>
      <c r="J16" s="20"/>
      <c r="K16" s="20"/>
      <c r="L16" s="20"/>
      <c r="V16" s="138" t="s">
        <v>64</v>
      </c>
    </row>
    <row r="17" spans="3:22" ht="10.5" x14ac:dyDescent="0.25">
      <c r="C17" s="31">
        <v>39903</v>
      </c>
      <c r="D17" s="32">
        <v>166.2</v>
      </c>
      <c r="E17" s="34">
        <f t="shared" si="0"/>
        <v>2.4660912453760897E-2</v>
      </c>
      <c r="F17" s="20"/>
      <c r="G17" s="20"/>
      <c r="H17" s="20"/>
      <c r="I17" s="33"/>
      <c r="J17" s="20"/>
      <c r="K17" s="20"/>
      <c r="L17" s="20"/>
      <c r="V17" s="138" t="s">
        <v>64</v>
      </c>
    </row>
    <row r="18" spans="3:22" ht="10.5" x14ac:dyDescent="0.25">
      <c r="C18" s="31">
        <v>39994</v>
      </c>
      <c r="D18" s="32">
        <v>167</v>
      </c>
      <c r="E18" s="34">
        <f t="shared" si="0"/>
        <v>1.4580801944106936E-2</v>
      </c>
      <c r="F18" s="20"/>
      <c r="G18" s="20"/>
      <c r="H18" s="20"/>
      <c r="I18" s="33"/>
      <c r="J18" s="20"/>
      <c r="K18" s="20"/>
      <c r="L18" s="20"/>
      <c r="V18" s="138" t="s">
        <v>64</v>
      </c>
    </row>
    <row r="19" spans="3:22" ht="10.5" x14ac:dyDescent="0.25">
      <c r="C19" s="31">
        <v>40086</v>
      </c>
      <c r="D19" s="32">
        <v>168.6</v>
      </c>
      <c r="E19" s="34">
        <f t="shared" si="0"/>
        <v>1.2612612612612484E-2</v>
      </c>
      <c r="F19" s="20"/>
      <c r="G19" s="20"/>
      <c r="H19" s="20"/>
      <c r="I19" s="33"/>
      <c r="J19" s="20"/>
      <c r="K19" s="20"/>
      <c r="L19" s="20"/>
      <c r="V19" s="138" t="s">
        <v>64</v>
      </c>
    </row>
    <row r="20" spans="3:22" ht="10.5" x14ac:dyDescent="0.25">
      <c r="C20" s="31">
        <v>40178</v>
      </c>
      <c r="D20" s="32">
        <v>169.5</v>
      </c>
      <c r="E20" s="34">
        <f t="shared" si="0"/>
        <v>2.108433734939763E-2</v>
      </c>
      <c r="F20" s="20"/>
      <c r="G20" s="20"/>
      <c r="H20" s="20"/>
      <c r="I20" s="33"/>
      <c r="J20" s="20"/>
      <c r="K20" s="20"/>
      <c r="L20" s="20"/>
      <c r="V20" s="138" t="s">
        <v>64</v>
      </c>
    </row>
    <row r="21" spans="3:22" ht="10.5" x14ac:dyDescent="0.25">
      <c r="C21" s="31">
        <v>40268</v>
      </c>
      <c r="D21" s="32">
        <v>171</v>
      </c>
      <c r="E21" s="34">
        <f t="shared" si="0"/>
        <v>2.8880866425992746E-2</v>
      </c>
      <c r="F21" s="32">
        <v>95.2</v>
      </c>
      <c r="G21" s="139"/>
      <c r="H21" s="139">
        <f>IF(ISBLANK(F21),IF(COUNT(G21:G$84)=0,"",IF(ISBLANK(G21),AVERAGE(H20,H22),(1+G21)*H17)),F21)</f>
        <v>95.2</v>
      </c>
      <c r="I21" s="33"/>
      <c r="J21" s="35"/>
      <c r="K21" s="20"/>
      <c r="L21" s="20"/>
      <c r="V21" s="138" t="s">
        <v>64</v>
      </c>
    </row>
    <row r="22" spans="3:22" ht="10.5" x14ac:dyDescent="0.25">
      <c r="C22" s="31">
        <v>40359</v>
      </c>
      <c r="D22" s="32">
        <v>172.1</v>
      </c>
      <c r="E22" s="34">
        <f t="shared" si="0"/>
        <v>3.0538922155688653E-2</v>
      </c>
      <c r="F22" s="32">
        <v>95.8</v>
      </c>
      <c r="G22" s="139"/>
      <c r="H22" s="139">
        <f>IF(ISBLANK(F22),IF(COUNT(G22:G$84)=0,"",IF(ISBLANK(G22),AVERAGE(H21,H23),(1+G22)*H18)),F22)</f>
        <v>95.8</v>
      </c>
      <c r="I22" s="33"/>
      <c r="J22" s="35"/>
      <c r="K22" s="20"/>
      <c r="L22" s="20"/>
      <c r="V22" s="138" t="s">
        <v>64</v>
      </c>
    </row>
    <row r="23" spans="3:22" ht="10.5" x14ac:dyDescent="0.25">
      <c r="C23" s="31">
        <v>40451</v>
      </c>
      <c r="D23" s="32">
        <v>173.3</v>
      </c>
      <c r="E23" s="34">
        <f t="shared" si="0"/>
        <v>2.7876631079478242E-2</v>
      </c>
      <c r="F23" s="32">
        <v>96.5</v>
      </c>
      <c r="G23" s="139"/>
      <c r="H23" s="139">
        <f>IF(ISBLANK(F23),IF(COUNT(G23:G$84)=0,"",IF(ISBLANK(G23),AVERAGE(H22,H24),(1+G23)*H19)),F23)</f>
        <v>96.5</v>
      </c>
      <c r="I23" s="33"/>
      <c r="J23" s="35"/>
      <c r="K23" s="20"/>
      <c r="L23" s="20"/>
      <c r="V23" s="138" t="s">
        <v>64</v>
      </c>
    </row>
    <row r="24" spans="3:22" ht="10.5" x14ac:dyDescent="0.25">
      <c r="C24" s="31">
        <v>40543</v>
      </c>
      <c r="D24" s="32">
        <v>174</v>
      </c>
      <c r="E24" s="34">
        <f t="shared" si="0"/>
        <v>2.6548672566371723E-2</v>
      </c>
      <c r="F24" s="32">
        <v>96.9</v>
      </c>
      <c r="G24" s="139"/>
      <c r="H24" s="139">
        <f>IF(ISBLANK(F24),IF(COUNT(G24:G$84)=0,"",IF(ISBLANK(G24),AVERAGE(H23,H25),(1+G24)*H20)),F24)</f>
        <v>96.9</v>
      </c>
      <c r="I24" s="33"/>
      <c r="J24" s="35"/>
      <c r="K24" s="20"/>
      <c r="L24" s="20"/>
      <c r="V24" s="138" t="s">
        <v>64</v>
      </c>
    </row>
    <row r="25" spans="3:22" ht="10.5" x14ac:dyDescent="0.25">
      <c r="C25" s="31">
        <v>40633</v>
      </c>
      <c r="D25" s="32">
        <v>176.7</v>
      </c>
      <c r="E25" s="34">
        <f t="shared" si="0"/>
        <v>3.3333333333333215E-2</v>
      </c>
      <c r="F25" s="32">
        <v>98.3</v>
      </c>
      <c r="G25" s="139"/>
      <c r="H25" s="139">
        <f>IF(ISBLANK(F25),IF(COUNT(G25:G$84)=0,"",IF(ISBLANK(G25),AVERAGE(H24,H26),(1+G25)*H21)),F25)</f>
        <v>98.3</v>
      </c>
      <c r="I25" s="34">
        <f t="shared" ref="I25:I78" si="1">IF(H25="","",H25/H21-1)</f>
        <v>3.2563025210083918E-2</v>
      </c>
      <c r="J25" s="35"/>
      <c r="K25" s="20"/>
      <c r="L25" s="20"/>
      <c r="V25" s="138" t="s">
        <v>64</v>
      </c>
    </row>
    <row r="26" spans="3:22" ht="10.5" x14ac:dyDescent="0.25">
      <c r="C26" s="31">
        <v>40724</v>
      </c>
      <c r="D26" s="32">
        <v>178.3</v>
      </c>
      <c r="E26" s="34">
        <f t="shared" si="0"/>
        <v>3.6025566531086683E-2</v>
      </c>
      <c r="F26" s="32">
        <v>99.2</v>
      </c>
      <c r="G26" s="139"/>
      <c r="H26" s="139">
        <f>IF(ISBLANK(F26),IF(COUNT(G26:G$84)=0,"",IF(ISBLANK(G26),AVERAGE(H25,H27),(1+G26)*H22)),F26)</f>
        <v>99.2</v>
      </c>
      <c r="I26" s="34">
        <f t="shared" si="1"/>
        <v>3.5490605427975108E-2</v>
      </c>
      <c r="J26" s="35"/>
      <c r="K26" s="20"/>
      <c r="L26" s="20"/>
      <c r="V26" s="138" t="s">
        <v>64</v>
      </c>
    </row>
    <row r="27" spans="3:22" ht="10.5" x14ac:dyDescent="0.25">
      <c r="C27" s="31">
        <v>40816</v>
      </c>
      <c r="D27" s="32">
        <v>179.4</v>
      </c>
      <c r="E27" s="34">
        <f t="shared" si="0"/>
        <v>3.5199076745527913E-2</v>
      </c>
      <c r="F27" s="32">
        <v>99.8</v>
      </c>
      <c r="G27" s="139"/>
      <c r="H27" s="139">
        <f>IF(ISBLANK(F27),IF(COUNT(G27:G$84)=0,"",IF(ISBLANK(G27),AVERAGE(H26,H28),(1+G27)*H23)),F27)</f>
        <v>99.8</v>
      </c>
      <c r="I27" s="34">
        <f t="shared" si="1"/>
        <v>3.4196891191709877E-2</v>
      </c>
      <c r="J27" s="35"/>
      <c r="K27" s="20"/>
      <c r="L27" s="20"/>
      <c r="V27" s="138" t="s">
        <v>64</v>
      </c>
    </row>
    <row r="28" spans="3:22" ht="10.5" x14ac:dyDescent="0.25">
      <c r="C28" s="31">
        <v>40908</v>
      </c>
      <c r="D28" s="32">
        <v>179.4</v>
      </c>
      <c r="E28" s="34">
        <f t="shared" si="0"/>
        <v>3.1034482758620641E-2</v>
      </c>
      <c r="F28" s="32">
        <v>99.8</v>
      </c>
      <c r="G28" s="139"/>
      <c r="H28" s="139">
        <f>IF(ISBLANK(F28),IF(COUNT(G28:G$84)=0,"",IF(ISBLANK(G28),AVERAGE(H27,H29),(1+G28)*H24)),F28)</f>
        <v>99.8</v>
      </c>
      <c r="I28" s="34">
        <f t="shared" si="1"/>
        <v>2.9927760577915352E-2</v>
      </c>
      <c r="J28" s="35"/>
      <c r="K28" s="20"/>
      <c r="L28" s="20"/>
      <c r="V28" s="138" t="s">
        <v>64</v>
      </c>
    </row>
    <row r="29" spans="3:22" ht="10.5" x14ac:dyDescent="0.25">
      <c r="C29" s="31">
        <v>40999</v>
      </c>
      <c r="D29" s="32">
        <v>179.5</v>
      </c>
      <c r="E29" s="34">
        <f t="shared" si="0"/>
        <v>1.5846066779853007E-2</v>
      </c>
      <c r="F29" s="32">
        <v>99.9</v>
      </c>
      <c r="G29" s="139"/>
      <c r="H29" s="139">
        <f>IF(ISBLANK(F29),IF(COUNT(G29:G$84)=0,"",IF(ISBLANK(G29),AVERAGE(H28,H30),(1+G29)*H25)),F29)</f>
        <v>99.9</v>
      </c>
      <c r="I29" s="34">
        <f t="shared" si="1"/>
        <v>1.6276703967446737E-2</v>
      </c>
      <c r="J29" s="35"/>
      <c r="K29" s="20"/>
      <c r="L29" s="20"/>
      <c r="V29" s="138" t="s">
        <v>64</v>
      </c>
    </row>
    <row r="30" spans="3:22" ht="10.5" x14ac:dyDescent="0.25">
      <c r="C30" s="31">
        <v>41090</v>
      </c>
      <c r="D30" s="20"/>
      <c r="E30" s="20"/>
      <c r="F30" s="32">
        <v>100.4</v>
      </c>
      <c r="G30" s="139"/>
      <c r="H30" s="139">
        <f>IF(ISBLANK(F30),IF(COUNT(G30:G$84)=0,"",IF(ISBLANK(G30),AVERAGE(H29,H31),(1+G30)*H26)),F30)</f>
        <v>100.4</v>
      </c>
      <c r="I30" s="34">
        <f t="shared" si="1"/>
        <v>1.2096774193548487E-2</v>
      </c>
      <c r="J30" s="35"/>
      <c r="K30" s="20"/>
      <c r="L30" s="20"/>
      <c r="V30" s="138" t="s">
        <v>64</v>
      </c>
    </row>
    <row r="31" spans="3:22" ht="10.5" x14ac:dyDescent="0.25">
      <c r="C31" s="31">
        <v>41182</v>
      </c>
      <c r="D31" s="20"/>
      <c r="E31" s="20"/>
      <c r="F31" s="32">
        <v>101.8</v>
      </c>
      <c r="G31" s="139"/>
      <c r="H31" s="139">
        <f>IF(ISBLANK(F31),IF(COUNT(G31:G$84)=0,"",IF(ISBLANK(G31),AVERAGE(H30,H32),(1+G31)*H27)),F31)</f>
        <v>101.8</v>
      </c>
      <c r="I31" s="34">
        <f t="shared" si="1"/>
        <v>2.0040080160320661E-2</v>
      </c>
      <c r="J31" s="35"/>
      <c r="K31" s="20"/>
      <c r="L31" s="20"/>
      <c r="V31" s="138" t="s">
        <v>64</v>
      </c>
    </row>
    <row r="32" spans="3:22" ht="10.5" x14ac:dyDescent="0.25">
      <c r="C32" s="31">
        <v>41274</v>
      </c>
      <c r="D32" s="20"/>
      <c r="E32" s="20"/>
      <c r="F32" s="32">
        <v>102</v>
      </c>
      <c r="G32" s="139"/>
      <c r="H32" s="139">
        <f>IF(ISBLANK(F32),IF(COUNT(G32:G$84)=0,"",IF(ISBLANK(G32),AVERAGE(H31,H33),(1+G32)*H28)),F32)</f>
        <v>102</v>
      </c>
      <c r="I32" s="34">
        <f t="shared" si="1"/>
        <v>2.2044088176352838E-2</v>
      </c>
      <c r="J32" s="35"/>
      <c r="K32" s="20"/>
      <c r="L32" s="20"/>
      <c r="V32" s="138" t="s">
        <v>64</v>
      </c>
    </row>
    <row r="33" spans="3:22" ht="10.5" x14ac:dyDescent="0.25">
      <c r="C33" s="31">
        <v>41364</v>
      </c>
      <c r="D33" s="20"/>
      <c r="E33" s="20"/>
      <c r="F33" s="32">
        <v>102.4</v>
      </c>
      <c r="G33" s="139"/>
      <c r="H33" s="139">
        <f>IF(ISBLANK(F33),IF(COUNT(G33:G$84)=0,"",IF(ISBLANK(G33),AVERAGE(H32,H34),(1+G33)*H29)),F33)</f>
        <v>102.4</v>
      </c>
      <c r="I33" s="34">
        <f t="shared" si="1"/>
        <v>2.5025025025025016E-2</v>
      </c>
      <c r="J33" s="35"/>
      <c r="K33" s="20"/>
      <c r="L33" s="20"/>
      <c r="V33" s="138" t="s">
        <v>64</v>
      </c>
    </row>
    <row r="34" spans="3:22" ht="10.5" x14ac:dyDescent="0.25">
      <c r="C34" s="31">
        <v>41455</v>
      </c>
      <c r="D34" s="20"/>
      <c r="E34" s="20"/>
      <c r="F34" s="32">
        <v>102.8</v>
      </c>
      <c r="G34" s="139"/>
      <c r="H34" s="139">
        <f>IF(ISBLANK(F34),IF(COUNT(G34:G$84)=0,"",IF(ISBLANK(G34),AVERAGE(H33,H35),(1+G34)*H30)),F34)</f>
        <v>102.8</v>
      </c>
      <c r="I34" s="34">
        <f t="shared" si="1"/>
        <v>2.3904382470119501E-2</v>
      </c>
      <c r="J34" s="35"/>
      <c r="K34" s="20"/>
      <c r="L34" s="20"/>
      <c r="V34" s="138" t="s">
        <v>64</v>
      </c>
    </row>
    <row r="35" spans="3:22" ht="10.5" x14ac:dyDescent="0.25">
      <c r="C35" s="31">
        <v>41547</v>
      </c>
      <c r="D35" s="20"/>
      <c r="E35" s="20"/>
      <c r="F35" s="32">
        <v>104</v>
      </c>
      <c r="G35" s="139"/>
      <c r="H35" s="139">
        <f>IF(ISBLANK(F35),IF(COUNT(G35:G$84)=0,"",IF(ISBLANK(G35),AVERAGE(H34,H36),(1+G35)*H31)),F35)</f>
        <v>104</v>
      </c>
      <c r="I35" s="34">
        <f t="shared" si="1"/>
        <v>2.16110019646365E-2</v>
      </c>
      <c r="J35" s="35"/>
      <c r="K35" s="20"/>
      <c r="L35" s="20"/>
      <c r="V35" s="138" t="s">
        <v>64</v>
      </c>
    </row>
    <row r="36" spans="3:22" ht="10.5" x14ac:dyDescent="0.25">
      <c r="C36" s="31">
        <v>41639</v>
      </c>
      <c r="D36" s="20"/>
      <c r="E36" s="20"/>
      <c r="F36" s="32">
        <v>104.8</v>
      </c>
      <c r="G36" s="139"/>
      <c r="H36" s="139">
        <f>IF(ISBLANK(F36),IF(COUNT(G36:G$84)=0,"",IF(ISBLANK(G36),AVERAGE(H35,H37),(1+G36)*H32)),F36)</f>
        <v>104.8</v>
      </c>
      <c r="I36" s="34">
        <f t="shared" si="1"/>
        <v>2.7450980392156765E-2</v>
      </c>
      <c r="J36" s="35"/>
      <c r="K36" s="20"/>
      <c r="L36" s="20"/>
      <c r="V36" s="138" t="s">
        <v>64</v>
      </c>
    </row>
    <row r="37" spans="3:22" ht="10.5" x14ac:dyDescent="0.25">
      <c r="C37" s="31">
        <v>41729</v>
      </c>
      <c r="D37" s="20"/>
      <c r="E37" s="20"/>
      <c r="F37" s="32">
        <v>105.4</v>
      </c>
      <c r="G37" s="139"/>
      <c r="H37" s="139">
        <f>IF(ISBLANK(F37),IF(COUNT(G37:G$84)=0,"",IF(ISBLANK(G37),AVERAGE(H36,H38),(1+G37)*H33)),F37)</f>
        <v>105.4</v>
      </c>
      <c r="I37" s="34">
        <f t="shared" si="1"/>
        <v>2.9296875E-2</v>
      </c>
      <c r="J37" s="35"/>
      <c r="K37" s="20"/>
      <c r="L37" s="20"/>
      <c r="V37" s="138" t="s">
        <v>64</v>
      </c>
    </row>
    <row r="38" spans="3:22" ht="10.5" x14ac:dyDescent="0.25">
      <c r="C38" s="31">
        <v>41820</v>
      </c>
      <c r="D38" s="20"/>
      <c r="E38" s="20"/>
      <c r="F38" s="32">
        <v>105.9</v>
      </c>
      <c r="G38" s="139"/>
      <c r="H38" s="139">
        <f>IF(ISBLANK(F38),IF(COUNT(G38:G$84)=0,"",IF(ISBLANK(G38),AVERAGE(H37,H39),(1+G38)*H34)),F38)</f>
        <v>105.9</v>
      </c>
      <c r="I38" s="34">
        <f t="shared" si="1"/>
        <v>3.0155642023346418E-2</v>
      </c>
      <c r="J38" s="35"/>
      <c r="K38" s="20"/>
      <c r="L38" s="20"/>
      <c r="V38" s="138" t="s">
        <v>64</v>
      </c>
    </row>
    <row r="39" spans="3:22" ht="10.5" x14ac:dyDescent="0.25">
      <c r="C39" s="31">
        <v>41912</v>
      </c>
      <c r="D39" s="20"/>
      <c r="E39" s="20"/>
      <c r="F39" s="32">
        <v>106.4</v>
      </c>
      <c r="G39" s="139"/>
      <c r="H39" s="139">
        <f>IF(ISBLANK(F39),IF(COUNT(G39:G$84)=0,"",IF(ISBLANK(G39),AVERAGE(H38,H40),(1+G39)*H35)),F39)</f>
        <v>106.4</v>
      </c>
      <c r="I39" s="34">
        <f t="shared" si="1"/>
        <v>2.3076923076923217E-2</v>
      </c>
      <c r="J39" s="35"/>
      <c r="K39" s="20"/>
      <c r="L39" s="20"/>
      <c r="V39" s="138" t="s">
        <v>64</v>
      </c>
    </row>
    <row r="40" spans="3:22" ht="10.5" x14ac:dyDescent="0.25">
      <c r="C40" s="31">
        <v>42004</v>
      </c>
      <c r="D40" s="20"/>
      <c r="E40" s="20"/>
      <c r="F40" s="32">
        <v>106.6</v>
      </c>
      <c r="G40" s="139"/>
      <c r="H40" s="139">
        <f>IF(ISBLANK(F40),IF(COUNT(G40:G$84)=0,"",IF(ISBLANK(G40),AVERAGE(H39,H41),(1+G40)*H36)),F40)</f>
        <v>106.6</v>
      </c>
      <c r="I40" s="34">
        <f t="shared" si="1"/>
        <v>1.7175572519083859E-2</v>
      </c>
      <c r="J40" s="35"/>
      <c r="K40" s="20"/>
      <c r="L40" s="20"/>
      <c r="V40" s="138" t="s">
        <v>64</v>
      </c>
    </row>
    <row r="41" spans="3:22" ht="10.5" x14ac:dyDescent="0.25">
      <c r="C41" s="31">
        <v>42094</v>
      </c>
      <c r="D41" s="20"/>
      <c r="E41" s="20"/>
      <c r="F41" s="32">
        <v>106.8</v>
      </c>
      <c r="G41" s="139"/>
      <c r="H41" s="139">
        <f>IF(ISBLANK(F41),IF(COUNT(G41:G$84)=0,"",IF(ISBLANK(G41),AVERAGE(H40,H42),(1+G41)*H37)),F41)</f>
        <v>106.8</v>
      </c>
      <c r="I41" s="34">
        <f t="shared" si="1"/>
        <v>1.3282732447817747E-2</v>
      </c>
      <c r="J41" s="35"/>
      <c r="K41" s="20"/>
      <c r="L41" s="20"/>
      <c r="V41" s="138" t="s">
        <v>64</v>
      </c>
    </row>
    <row r="42" spans="3:22" ht="10.5" x14ac:dyDescent="0.25">
      <c r="C42" s="31">
        <v>42185</v>
      </c>
      <c r="D42" s="20"/>
      <c r="E42" s="20"/>
      <c r="F42" s="32">
        <v>107.5</v>
      </c>
      <c r="G42" s="139"/>
      <c r="H42" s="139">
        <f>IF(ISBLANK(F42),IF(COUNT(G42:G$84)=0,"",IF(ISBLANK(G42),AVERAGE(H41,H43),(1+G42)*H38)),F42)</f>
        <v>107.5</v>
      </c>
      <c r="I42" s="34">
        <f t="shared" si="1"/>
        <v>1.5108593012275628E-2</v>
      </c>
      <c r="J42" s="35"/>
      <c r="K42" s="20"/>
      <c r="L42" s="20"/>
      <c r="V42" s="138" t="s">
        <v>64</v>
      </c>
    </row>
    <row r="43" spans="3:22" ht="10.5" x14ac:dyDescent="0.25">
      <c r="C43" s="31">
        <v>42277</v>
      </c>
      <c r="D43" s="20"/>
      <c r="E43" s="20"/>
      <c r="F43" s="32">
        <v>108</v>
      </c>
      <c r="G43" s="139"/>
      <c r="H43" s="139">
        <f>IF(ISBLANK(F43),IF(COUNT(G43:G$84)=0,"",IF(ISBLANK(G43),AVERAGE(H42,H44),(1+G43)*H39)),F43)</f>
        <v>108</v>
      </c>
      <c r="I43" s="34">
        <f t="shared" si="1"/>
        <v>1.5037593984962294E-2</v>
      </c>
      <c r="J43" s="35"/>
      <c r="K43" s="20"/>
      <c r="L43" s="20"/>
      <c r="V43" s="138" t="s">
        <v>64</v>
      </c>
    </row>
    <row r="44" spans="3:22" ht="10.5" x14ac:dyDescent="0.25">
      <c r="C44" s="31">
        <v>42369</v>
      </c>
      <c r="D44" s="20"/>
      <c r="E44" s="20"/>
      <c r="F44" s="32">
        <v>108.4</v>
      </c>
      <c r="G44" s="139"/>
      <c r="H44" s="139">
        <f>IF(ISBLANK(F44),IF(COUNT(G44:G$84)=0,"",IF(ISBLANK(G44),AVERAGE(H43,H45),(1+G44)*H40)),F44)</f>
        <v>108.4</v>
      </c>
      <c r="I44" s="34">
        <f t="shared" si="1"/>
        <v>1.6885553470919357E-2</v>
      </c>
      <c r="J44" s="35"/>
      <c r="K44" s="20"/>
      <c r="L44" s="20"/>
      <c r="V44" s="138" t="s">
        <v>64</v>
      </c>
    </row>
    <row r="45" spans="3:22" ht="10.5" x14ac:dyDescent="0.25">
      <c r="C45" s="31">
        <v>42460</v>
      </c>
      <c r="D45" s="20"/>
      <c r="E45" s="20"/>
      <c r="F45" s="32">
        <v>108.2</v>
      </c>
      <c r="G45" s="139"/>
      <c r="H45" s="139">
        <f>IF(ISBLANK(F45),IF(COUNT(G45:G$84)=0,"",IF(ISBLANK(G45),AVERAGE(H44,H46),(1+G45)*H41)),F45)</f>
        <v>108.2</v>
      </c>
      <c r="I45" s="34">
        <f t="shared" si="1"/>
        <v>1.3108614232209881E-2</v>
      </c>
      <c r="J45" s="35"/>
      <c r="K45" s="20"/>
      <c r="L45" s="20"/>
      <c r="V45" s="138" t="s">
        <v>64</v>
      </c>
    </row>
    <row r="46" spans="3:22" ht="10.5" x14ac:dyDescent="0.25">
      <c r="C46" s="31">
        <v>42551</v>
      </c>
      <c r="D46" s="20"/>
      <c r="E46" s="20"/>
      <c r="F46" s="32">
        <v>108.6</v>
      </c>
      <c r="G46" s="139"/>
      <c r="H46" s="139">
        <f>IF(ISBLANK(F46),IF(COUNT(G46:G$84)=0,"",IF(ISBLANK(G46),AVERAGE(H45,H47),(1+G46)*H42)),F46)</f>
        <v>108.6</v>
      </c>
      <c r="I46" s="34">
        <f t="shared" si="1"/>
        <v>1.0232558139534831E-2</v>
      </c>
      <c r="J46" s="35"/>
      <c r="K46" s="20"/>
      <c r="L46" s="20"/>
      <c r="V46" s="138" t="s">
        <v>64</v>
      </c>
    </row>
    <row r="47" spans="3:22" ht="10.5" x14ac:dyDescent="0.25">
      <c r="C47" s="31">
        <v>42643</v>
      </c>
      <c r="D47" s="20"/>
      <c r="E47" s="20"/>
      <c r="F47" s="32">
        <v>109.4</v>
      </c>
      <c r="G47" s="139"/>
      <c r="H47" s="139">
        <f>IF(ISBLANK(F47),IF(COUNT(G47:G$84)=0,"",IF(ISBLANK(G47),AVERAGE(H46,H48),(1+G47)*H43)),F47)</f>
        <v>109.4</v>
      </c>
      <c r="I47" s="34">
        <f t="shared" si="1"/>
        <v>1.2962962962963065E-2</v>
      </c>
      <c r="J47" s="35"/>
      <c r="K47" s="20"/>
      <c r="L47" s="20"/>
      <c r="V47" s="138" t="s">
        <v>64</v>
      </c>
    </row>
    <row r="48" spans="3:22" ht="10.5" x14ac:dyDescent="0.25">
      <c r="C48" s="31">
        <v>42735</v>
      </c>
      <c r="D48" s="20"/>
      <c r="E48" s="20"/>
      <c r="F48" s="32">
        <v>110</v>
      </c>
      <c r="G48" s="139"/>
      <c r="H48" s="139">
        <f>IF(ISBLANK(F48),IF(COUNT(G48:G$84)=0,"",IF(ISBLANK(G48),AVERAGE(H47,H49),(1+G48)*H44)),F48)</f>
        <v>110</v>
      </c>
      <c r="I48" s="34">
        <f t="shared" si="1"/>
        <v>1.4760147601476037E-2</v>
      </c>
      <c r="J48" s="35"/>
      <c r="K48" s="20"/>
      <c r="L48" s="20"/>
      <c r="V48" s="138" t="s">
        <v>64</v>
      </c>
    </row>
    <row r="49" spans="3:22" ht="10.5" x14ac:dyDescent="0.25">
      <c r="C49" s="31">
        <v>42825</v>
      </c>
      <c r="D49" s="20"/>
      <c r="E49" s="20"/>
      <c r="F49" s="32">
        <v>110.5</v>
      </c>
      <c r="G49" s="139"/>
      <c r="H49" s="139">
        <f>IF(ISBLANK(F49),IF(COUNT(G49:G$84)=0,"",IF(ISBLANK(G49),AVERAGE(H48,H50),(1+G49)*H45)),F49)</f>
        <v>110.5</v>
      </c>
      <c r="I49" s="34">
        <f t="shared" si="1"/>
        <v>2.1256931608133023E-2</v>
      </c>
      <c r="J49" s="35"/>
      <c r="K49" s="20"/>
      <c r="L49" s="20"/>
      <c r="V49" s="138" t="s">
        <v>64</v>
      </c>
    </row>
    <row r="50" spans="3:22" ht="10.5" x14ac:dyDescent="0.25">
      <c r="C50" s="31">
        <v>42916</v>
      </c>
      <c r="D50" s="20"/>
      <c r="E50" s="20"/>
      <c r="F50" s="32">
        <v>110.7</v>
      </c>
      <c r="G50" s="139"/>
      <c r="H50" s="139">
        <f>IF(ISBLANK(F50),IF(COUNT(G50:G$84)=0,"",IF(ISBLANK(G50),AVERAGE(H49,H51),(1+G50)*H46)),F50)</f>
        <v>110.7</v>
      </c>
      <c r="I50" s="34">
        <f t="shared" si="1"/>
        <v>1.9337016574585641E-2</v>
      </c>
      <c r="J50" s="36"/>
      <c r="K50" s="20"/>
      <c r="L50" s="20"/>
      <c r="V50" s="138" t="s">
        <v>64</v>
      </c>
    </row>
    <row r="51" spans="3:22" ht="10.5" x14ac:dyDescent="0.25">
      <c r="C51" s="31">
        <v>43008</v>
      </c>
      <c r="D51" s="20"/>
      <c r="E51" s="20"/>
      <c r="F51" s="32">
        <v>111.4</v>
      </c>
      <c r="G51" s="139"/>
      <c r="H51" s="139">
        <f>IF(ISBLANK(F51),IF(COUNT(G51:G$84)=0,"",IF(ISBLANK(G51),AVERAGE(H50,H52),(1+G51)*H47)),F51)</f>
        <v>111.4</v>
      </c>
      <c r="I51" s="34">
        <f t="shared" si="1"/>
        <v>1.8281535648994485E-2</v>
      </c>
      <c r="J51" s="35"/>
      <c r="K51" s="20"/>
      <c r="L51" s="20"/>
      <c r="V51" s="138" t="s">
        <v>64</v>
      </c>
    </row>
    <row r="52" spans="3:22" ht="10.5" x14ac:dyDescent="0.25">
      <c r="C52" s="31">
        <v>43100</v>
      </c>
      <c r="D52" s="20"/>
      <c r="E52" s="20"/>
      <c r="F52" s="32">
        <v>112.1</v>
      </c>
      <c r="G52" s="139"/>
      <c r="H52" s="139">
        <f>IF(ISBLANK(F52),IF(COUNT(G52:G$84)=0,"",IF(ISBLANK(G52),AVERAGE(H51,H53),(1+G52)*H48)),F52)</f>
        <v>112.1</v>
      </c>
      <c r="I52" s="34">
        <f t="shared" si="1"/>
        <v>1.9090909090909047E-2</v>
      </c>
      <c r="J52" s="35"/>
      <c r="K52" s="20"/>
      <c r="L52" s="20"/>
      <c r="V52" s="138" t="s">
        <v>64</v>
      </c>
    </row>
    <row r="53" spans="3:22" ht="10.5" x14ac:dyDescent="0.25">
      <c r="C53" s="31">
        <v>43190</v>
      </c>
      <c r="D53" s="20"/>
      <c r="E53" s="20"/>
      <c r="F53" s="32">
        <v>112.6</v>
      </c>
      <c r="G53" s="139"/>
      <c r="H53" s="139">
        <f>IF(ISBLANK(F53),IF(COUNT(G53:G$84)=0,"",IF(ISBLANK(G53),AVERAGE(H52,H54),(1+G53)*H49)),F53)</f>
        <v>112.6</v>
      </c>
      <c r="I53" s="34">
        <f t="shared" si="1"/>
        <v>1.9004524886877761E-2</v>
      </c>
      <c r="J53" s="35"/>
      <c r="K53" s="20"/>
      <c r="L53" s="20"/>
      <c r="V53" s="138" t="s">
        <v>64</v>
      </c>
    </row>
    <row r="54" spans="3:22" ht="10.5" x14ac:dyDescent="0.25">
      <c r="C54" s="31">
        <v>43281</v>
      </c>
      <c r="D54" s="20"/>
      <c r="E54" s="20"/>
      <c r="F54" s="32">
        <v>113</v>
      </c>
      <c r="G54" s="139"/>
      <c r="H54" s="139">
        <f>IF(ISBLANK(F54),IF(COUNT(G54:G$84)=0,"",IF(ISBLANK(G54),AVERAGE(H53,H55),(1+G54)*H50)),F54)</f>
        <v>113</v>
      </c>
      <c r="I54" s="34">
        <f t="shared" si="1"/>
        <v>2.0776874435411097E-2</v>
      </c>
      <c r="J54" s="35"/>
      <c r="K54" s="20"/>
      <c r="L54" s="20"/>
      <c r="V54" s="138" t="s">
        <v>64</v>
      </c>
    </row>
    <row r="55" spans="3:22" ht="10.5" x14ac:dyDescent="0.25">
      <c r="C55" s="31">
        <v>43373</v>
      </c>
      <c r="D55" s="20"/>
      <c r="E55" s="20"/>
      <c r="F55" s="32">
        <v>113.5</v>
      </c>
      <c r="G55" s="139"/>
      <c r="H55" s="139">
        <f>IF(ISBLANK(F55),IF(COUNT(G55:G$84)=0,"",IF(ISBLANK(G55),AVERAGE(H54,H56),(1+G55)*H51)),F55)</f>
        <v>113.5</v>
      </c>
      <c r="I55" s="34">
        <f t="shared" si="1"/>
        <v>1.8850987432674993E-2</v>
      </c>
      <c r="J55" s="35"/>
      <c r="K55" s="20"/>
      <c r="L55" s="20"/>
      <c r="V55" s="138" t="s">
        <v>64</v>
      </c>
    </row>
    <row r="56" spans="3:22" ht="10.5" x14ac:dyDescent="0.25">
      <c r="C56" s="31">
        <v>43465</v>
      </c>
      <c r="D56" s="20"/>
      <c r="E56" s="20"/>
      <c r="F56" s="32">
        <v>114.1</v>
      </c>
      <c r="G56" s="139"/>
      <c r="H56" s="139">
        <f>IF(ISBLANK(F56),IF(COUNT(G56:G$84)=0,"",IF(ISBLANK(G56),AVERAGE(H55,H57),(1+G56)*H52)),F56)</f>
        <v>114.1</v>
      </c>
      <c r="I56" s="34">
        <f t="shared" si="1"/>
        <v>1.7841213202497874E-2</v>
      </c>
      <c r="J56" s="35"/>
      <c r="K56" s="20"/>
      <c r="L56" s="20"/>
      <c r="V56" s="138" t="s">
        <v>64</v>
      </c>
    </row>
    <row r="57" spans="3:22" ht="10.5" x14ac:dyDescent="0.25">
      <c r="C57" s="31">
        <v>43555</v>
      </c>
      <c r="D57" s="20"/>
      <c r="E57" s="20"/>
      <c r="F57" s="32">
        <v>114.1</v>
      </c>
      <c r="G57" s="139"/>
      <c r="H57" s="139">
        <f>IF(ISBLANK(F57),IF(COUNT(G57:G$84)=0,"",IF(ISBLANK(G57),AVERAGE(H56,H58),(1+G57)*H53)),F57)</f>
        <v>114.1</v>
      </c>
      <c r="I57" s="34">
        <f t="shared" si="1"/>
        <v>1.3321492007104752E-2</v>
      </c>
      <c r="J57" s="35"/>
      <c r="K57" s="20"/>
      <c r="L57" s="20"/>
      <c r="V57" s="138" t="s">
        <v>64</v>
      </c>
    </row>
    <row r="58" spans="3:22" ht="10.5" x14ac:dyDescent="0.25">
      <c r="C58" s="31">
        <v>43646</v>
      </c>
      <c r="D58" s="20"/>
      <c r="E58" s="20"/>
      <c r="F58" s="32">
        <v>114.8</v>
      </c>
      <c r="G58" s="139"/>
      <c r="H58" s="139">
        <f>IF(ISBLANK(F58),IF(COUNT(G58:G$84)=0,"",IF(ISBLANK(G58),AVERAGE(H57,H59),(1+G58)*H54)),F58)</f>
        <v>114.8</v>
      </c>
      <c r="I58" s="34">
        <f t="shared" si="1"/>
        <v>1.5929203539823078E-2</v>
      </c>
      <c r="J58" s="35"/>
      <c r="K58" s="20"/>
      <c r="L58" s="20"/>
      <c r="V58" s="138" t="s">
        <v>64</v>
      </c>
    </row>
    <row r="59" spans="3:22" ht="10.5" x14ac:dyDescent="0.25">
      <c r="C59" s="31">
        <v>43738</v>
      </c>
      <c r="D59" s="20"/>
      <c r="E59" s="20"/>
      <c r="F59" s="32">
        <v>115.4</v>
      </c>
      <c r="G59" s="139"/>
      <c r="H59" s="139">
        <f>IF(ISBLANK(F59),IF(COUNT(G59:G$84)=0,"",IF(ISBLANK(G59),AVERAGE(H58,H60),(1+G59)*H55)),F59)</f>
        <v>115.4</v>
      </c>
      <c r="I59" s="34">
        <f t="shared" si="1"/>
        <v>1.6740088105726914E-2</v>
      </c>
      <c r="J59" s="35"/>
      <c r="K59" s="20"/>
      <c r="L59" s="20"/>
      <c r="V59" s="138" t="s">
        <v>64</v>
      </c>
    </row>
    <row r="60" spans="3:22" ht="10.5" x14ac:dyDescent="0.25">
      <c r="C60" s="31">
        <v>43830</v>
      </c>
      <c r="D60" s="20"/>
      <c r="E60" s="20"/>
      <c r="F60" s="32">
        <v>116.2</v>
      </c>
      <c r="G60" s="139"/>
      <c r="H60" s="139">
        <f>IF(ISBLANK(F60),IF(COUNT(G60:G$84)=0,"",IF(ISBLANK(G60),AVERAGE(H59,H61),(1+G60)*H56)),F60)</f>
        <v>116.2</v>
      </c>
      <c r="I60" s="34">
        <f t="shared" si="1"/>
        <v>1.8404907975460238E-2</v>
      </c>
      <c r="J60" s="35"/>
      <c r="K60" s="20"/>
      <c r="L60" s="20"/>
      <c r="V60" s="138" t="s">
        <v>64</v>
      </c>
    </row>
    <row r="61" spans="3:22" ht="10.5" x14ac:dyDescent="0.25">
      <c r="C61" s="31">
        <v>43921</v>
      </c>
      <c r="D61" s="20"/>
      <c r="E61" s="20"/>
      <c r="F61" s="32">
        <v>116.6</v>
      </c>
      <c r="G61" s="139"/>
      <c r="H61" s="139">
        <f>IF(ISBLANK(F61),IF(COUNT(G61:G$84)=0,"",IF(ISBLANK(G61),AVERAGE(H60,H62),(1+G61)*H57)),F61)</f>
        <v>116.6</v>
      </c>
      <c r="I61" s="34">
        <f t="shared" si="1"/>
        <v>2.1910604732690686E-2</v>
      </c>
      <c r="J61" s="35"/>
      <c r="K61" s="20"/>
      <c r="L61" s="20"/>
      <c r="V61" s="138" t="s">
        <v>64</v>
      </c>
    </row>
    <row r="62" spans="3:22" ht="10.5" x14ac:dyDescent="0.25">
      <c r="C62" s="31">
        <v>44012</v>
      </c>
      <c r="D62" s="20"/>
      <c r="E62" s="20"/>
      <c r="F62" s="32">
        <v>114.4</v>
      </c>
      <c r="G62" s="139"/>
      <c r="H62" s="139">
        <f>IF(ISBLANK(F62),IF(COUNT(G62:G$84)=0,"",IF(ISBLANK(G62),AVERAGE(H61,H63),(1+G62)*H58)),F62)</f>
        <v>114.4</v>
      </c>
      <c r="I62" s="34">
        <f t="shared" si="1"/>
        <v>-3.4843205574912606E-3</v>
      </c>
      <c r="J62" s="35"/>
      <c r="K62" s="20"/>
      <c r="L62" s="20"/>
      <c r="V62" s="138" t="s">
        <v>64</v>
      </c>
    </row>
    <row r="63" spans="3:22" ht="10.5" x14ac:dyDescent="0.25">
      <c r="C63" s="31">
        <v>44104</v>
      </c>
      <c r="D63" s="20"/>
      <c r="E63" s="20"/>
      <c r="F63" s="32">
        <v>116.2</v>
      </c>
      <c r="G63" s="139"/>
      <c r="H63" s="139">
        <f>IF(ISBLANK(F63),IF(COUNT(G63:G$84)=0,"",IF(ISBLANK(G63),AVERAGE(H62,H64),(1+G63)*H59)),F63)</f>
        <v>116.2</v>
      </c>
      <c r="I63" s="34">
        <f t="shared" si="1"/>
        <v>6.9324090121316573E-3</v>
      </c>
      <c r="J63" s="35"/>
      <c r="K63" s="20"/>
      <c r="L63" s="20"/>
      <c r="V63" s="138" t="s">
        <v>64</v>
      </c>
    </row>
    <row r="64" spans="3:22" ht="10.5" x14ac:dyDescent="0.25">
      <c r="C64" s="31">
        <v>44196</v>
      </c>
      <c r="D64" s="20"/>
      <c r="E64" s="20"/>
      <c r="F64" s="32">
        <v>117.2</v>
      </c>
      <c r="G64" s="139"/>
      <c r="H64" s="139">
        <f>IF(ISBLANK(F64),IF(COUNT(G64:G$84)=0,"",IF(ISBLANK(G64),AVERAGE(H63,H65),(1+G64)*H60)),F64)</f>
        <v>117.2</v>
      </c>
      <c r="I64" s="34">
        <f t="shared" si="1"/>
        <v>8.6058519793459354E-3</v>
      </c>
      <c r="J64" s="35"/>
      <c r="K64" s="20"/>
      <c r="L64" s="20"/>
      <c r="V64" s="138" t="s">
        <v>64</v>
      </c>
    </row>
    <row r="65" spans="3:22" ht="10.5" x14ac:dyDescent="0.25">
      <c r="C65" s="31">
        <v>44286</v>
      </c>
      <c r="D65" s="20"/>
      <c r="E65" s="20"/>
      <c r="F65" s="32">
        <v>117.9</v>
      </c>
      <c r="G65" s="139"/>
      <c r="H65" s="139">
        <f>IF(ISBLANK(F65),IF(COUNT(G65:G$84)=0,"",IF(ISBLANK(G65),AVERAGE(H64,H66),(1+G65)*H61)),F65)</f>
        <v>117.9</v>
      </c>
      <c r="I65" s="34">
        <f t="shared" si="1"/>
        <v>1.1149228130360234E-2</v>
      </c>
      <c r="J65" s="35"/>
      <c r="K65" s="20"/>
      <c r="L65" s="20"/>
      <c r="V65" s="138" t="s">
        <v>64</v>
      </c>
    </row>
    <row r="66" spans="3:22" ht="10.5" x14ac:dyDescent="0.25">
      <c r="C66" s="31">
        <v>44377</v>
      </c>
      <c r="D66" s="20"/>
      <c r="E66" s="20"/>
      <c r="F66" s="32">
        <v>118.8</v>
      </c>
      <c r="G66" s="139"/>
      <c r="H66" s="139">
        <f>IF(ISBLANK(F66),IF(COUNT(G66:G$84)=0,"",IF(ISBLANK(G66),AVERAGE(H65,H67),(1+G66)*H62)),F66)</f>
        <v>118.8</v>
      </c>
      <c r="I66" s="34">
        <f t="shared" si="1"/>
        <v>3.8461538461538325E-2</v>
      </c>
      <c r="J66" s="35"/>
      <c r="K66" s="20"/>
      <c r="L66" s="20"/>
      <c r="V66" s="138" t="s">
        <v>64</v>
      </c>
    </row>
    <row r="67" spans="3:22" ht="10.5" x14ac:dyDescent="0.25">
      <c r="C67" s="31">
        <v>44469</v>
      </c>
      <c r="D67" s="20"/>
      <c r="E67" s="20"/>
      <c r="F67" s="32">
        <v>119.7</v>
      </c>
      <c r="G67" s="139"/>
      <c r="H67" s="139">
        <f>IF(ISBLANK(F67),IF(COUNT(G67:G$84)=0,"",IF(ISBLANK(G67),AVERAGE(H66,H68),(1+G67)*H63)),F67)</f>
        <v>119.7</v>
      </c>
      <c r="I67" s="34">
        <f t="shared" si="1"/>
        <v>3.0120481927710774E-2</v>
      </c>
      <c r="J67" s="35"/>
      <c r="K67" s="20"/>
      <c r="L67" s="20"/>
      <c r="V67" s="138" t="s">
        <v>64</v>
      </c>
    </row>
    <row r="68" spans="3:22" ht="10.5" x14ac:dyDescent="0.25">
      <c r="C68" s="31">
        <v>44561</v>
      </c>
      <c r="D68" s="20"/>
      <c r="E68" s="20"/>
      <c r="F68" s="32">
        <v>121.3</v>
      </c>
      <c r="G68" s="139"/>
      <c r="H68" s="139">
        <f>IF(ISBLANK(F68),IF(COUNT(G68:G$84)=0,"",IF(ISBLANK(G68),AVERAGE(H67,H69),(1+G68)*H64)),F68)</f>
        <v>121.3</v>
      </c>
      <c r="I68" s="34">
        <f t="shared" si="1"/>
        <v>3.4982935153583528E-2</v>
      </c>
      <c r="J68" s="35"/>
      <c r="K68" s="20"/>
      <c r="L68" s="20"/>
      <c r="V68" s="138" t="s">
        <v>64</v>
      </c>
    </row>
    <row r="69" spans="3:22" ht="10.5" x14ac:dyDescent="0.25">
      <c r="C69" s="31">
        <v>44651</v>
      </c>
      <c r="D69" s="20"/>
      <c r="E69" s="20"/>
      <c r="F69" s="32">
        <v>123.9</v>
      </c>
      <c r="G69" s="139"/>
      <c r="H69" s="139">
        <f>IF(ISBLANK(F69),IF(COUNT(G69:G$84)=0,"",IF(ISBLANK(G69),AVERAGE(H68,H70),(1+G69)*H65)),F69)</f>
        <v>123.9</v>
      </c>
      <c r="I69" s="34">
        <f t="shared" si="1"/>
        <v>5.0890585241730291E-2</v>
      </c>
      <c r="J69" s="35"/>
      <c r="K69" s="20"/>
      <c r="L69" s="20"/>
      <c r="V69" s="138" t="s">
        <v>64</v>
      </c>
    </row>
    <row r="70" spans="3:22" ht="10.5" x14ac:dyDescent="0.25">
      <c r="C70" s="31">
        <v>44742</v>
      </c>
      <c r="D70" s="20"/>
      <c r="E70" s="20"/>
      <c r="F70" s="140">
        <v>126.1</v>
      </c>
      <c r="G70" s="139"/>
      <c r="H70" s="139">
        <f>IF(ISBLANK(F70),IF(COUNT(G70:G$84)=0,"",IF(ISBLANK(G70),AVERAGE(H69,H71),(1+G70)*H66)),F70)</f>
        <v>126.1</v>
      </c>
      <c r="I70" s="34">
        <f t="shared" si="1"/>
        <v>6.1447811447811418E-2</v>
      </c>
      <c r="J70" s="141"/>
      <c r="K70" s="20"/>
      <c r="L70" s="20"/>
      <c r="V70" s="138" t="s">
        <v>64</v>
      </c>
    </row>
    <row r="71" spans="3:22" ht="10.5" x14ac:dyDescent="0.25">
      <c r="C71" s="31">
        <v>44834</v>
      </c>
      <c r="D71" s="20"/>
      <c r="E71" s="20"/>
      <c r="F71" s="142">
        <v>128.4</v>
      </c>
      <c r="G71" s="139"/>
      <c r="H71" s="139">
        <f>IF(ISBLANK(F71),IF(COUNT(G71:G$84)=0,"",IF(ISBLANK(G71),AVERAGE(H70,H72),(1+G71)*H67)),F71)</f>
        <v>128.4</v>
      </c>
      <c r="I71" s="34">
        <f t="shared" si="1"/>
        <v>7.268170426065157E-2</v>
      </c>
      <c r="J71" s="143"/>
      <c r="K71" s="20"/>
      <c r="L71" s="20"/>
      <c r="V71" s="138" t="s">
        <v>64</v>
      </c>
    </row>
    <row r="72" spans="3:22" ht="10.5" x14ac:dyDescent="0.25">
      <c r="C72" s="31">
        <v>44926</v>
      </c>
      <c r="D72" s="20"/>
      <c r="E72" s="20"/>
      <c r="F72" s="142">
        <v>130.80000000000001</v>
      </c>
      <c r="G72" s="144"/>
      <c r="H72" s="139">
        <f>IF(ISBLANK(F72),IF(COUNT(G72:G$84)=0,"",IF(ISBLANK(G72),AVERAGE(H71,H73),(1+G72)*H68)),F72)</f>
        <v>130.80000000000001</v>
      </c>
      <c r="I72" s="34">
        <f t="shared" si="1"/>
        <v>7.8318219291014124E-2</v>
      </c>
      <c r="J72" s="141"/>
      <c r="K72" s="20"/>
      <c r="L72" s="20"/>
      <c r="V72" s="138" t="s">
        <v>64</v>
      </c>
    </row>
    <row r="73" spans="3:22" ht="10.5" x14ac:dyDescent="0.25">
      <c r="C73" s="31">
        <v>45016</v>
      </c>
      <c r="D73" s="20"/>
      <c r="E73" s="20"/>
      <c r="F73" s="142">
        <v>132.6</v>
      </c>
      <c r="G73" s="155"/>
      <c r="H73" s="139">
        <f>IF(ISBLANK(F73),IF(COUNT(G73:G$84)=0,"",IF(ISBLANK(G73),AVERAGE(H72,H74),(1+G73)*H69)),F73)</f>
        <v>132.6</v>
      </c>
      <c r="I73" s="34">
        <f t="shared" si="1"/>
        <v>7.0217917675544639E-2</v>
      </c>
      <c r="J73" s="35"/>
      <c r="K73" s="20"/>
      <c r="L73" s="20"/>
      <c r="V73" s="138" t="s">
        <v>64</v>
      </c>
    </row>
    <row r="74" spans="3:22" ht="10.5" x14ac:dyDescent="0.25">
      <c r="C74" s="31">
        <v>45107</v>
      </c>
      <c r="D74" s="20"/>
      <c r="E74" s="20"/>
      <c r="F74" s="142">
        <v>133.69999999999999</v>
      </c>
      <c r="G74" s="144"/>
      <c r="H74" s="139">
        <f>IF(ISBLANK(F74),IF(COUNT(G74:G$84)=0,"",IF(ISBLANK(G74),AVERAGE(H73,H75),(1+G74)*H70)),F74)</f>
        <v>133.69999999999999</v>
      </c>
      <c r="I74" s="34">
        <f t="shared" si="1"/>
        <v>6.0269627279936566E-2</v>
      </c>
      <c r="J74" s="141"/>
      <c r="K74" s="20"/>
      <c r="L74" s="20"/>
      <c r="V74" s="138" t="s">
        <v>64</v>
      </c>
    </row>
    <row r="75" spans="3:22" ht="10.5" x14ac:dyDescent="0.25">
      <c r="C75" s="31">
        <v>45199</v>
      </c>
      <c r="D75" s="20"/>
      <c r="E75" s="20"/>
      <c r="F75" s="142"/>
      <c r="G75" s="155"/>
      <c r="H75" s="139">
        <f>IF(ISBLANK(F75),IF(COUNT(G75:G$84)=0,"",IF(ISBLANK(G75),AVERAGE(H74,H76),(1+G75)*H71)),F75)</f>
        <v>134.9314</v>
      </c>
      <c r="I75" s="34">
        <f t="shared" si="1"/>
        <v>5.0867601246105787E-2</v>
      </c>
      <c r="J75" s="35"/>
      <c r="K75" s="20"/>
      <c r="L75" s="20"/>
      <c r="V75" s="138" t="s">
        <v>64</v>
      </c>
    </row>
    <row r="76" spans="3:22" ht="10.5" x14ac:dyDescent="0.25">
      <c r="C76" s="31">
        <v>45291</v>
      </c>
      <c r="D76" s="20"/>
      <c r="E76" s="20"/>
      <c r="F76" s="142"/>
      <c r="G76" s="144">
        <v>4.1000000000000002E-2</v>
      </c>
      <c r="H76" s="139">
        <f>IF(ISBLANK(F76),IF(COUNT(G76:G$84)=0,"",IF(ISBLANK(G76),AVERAGE(H75,H77),(1+G76)*H72)),F76)</f>
        <v>136.1628</v>
      </c>
      <c r="I76" s="34">
        <f t="shared" si="1"/>
        <v>4.0999999999999925E-2</v>
      </c>
      <c r="J76" s="141" t="s">
        <v>75</v>
      </c>
      <c r="K76" s="20"/>
      <c r="L76" s="20"/>
      <c r="V76" s="138" t="s">
        <v>64</v>
      </c>
    </row>
    <row r="77" spans="3:22" ht="10.5" x14ac:dyDescent="0.25">
      <c r="C77" s="31">
        <v>45382</v>
      </c>
      <c r="D77" s="20"/>
      <c r="E77" s="20"/>
      <c r="F77" s="142"/>
      <c r="G77" s="155"/>
      <c r="H77" s="139">
        <f>IF(ISBLANK(F77),IF(COUNT(G77:G$84)=0,"",IF(ISBLANK(G77),AVERAGE(H76,H78),(1+G77)*H73)),F77)</f>
        <v>137.33799999999999</v>
      </c>
      <c r="I77" s="34">
        <f t="shared" si="1"/>
        <v>3.5731523378582208E-2</v>
      </c>
      <c r="J77" s="35"/>
      <c r="K77" s="20"/>
      <c r="L77" s="20"/>
      <c r="V77" s="138" t="s">
        <v>64</v>
      </c>
    </row>
    <row r="78" spans="3:22" ht="10.5" x14ac:dyDescent="0.25">
      <c r="C78" s="31">
        <v>45473</v>
      </c>
      <c r="D78" s="20"/>
      <c r="E78" s="20"/>
      <c r="F78" s="142"/>
      <c r="G78" s="144">
        <v>3.6000000000000032E-2</v>
      </c>
      <c r="H78" s="139">
        <f>IF(ISBLANK(F78),IF(COUNT(G78:G$84)=0,"",IF(ISBLANK(G78),AVERAGE(H77,H79),(1+G78)*H74)),F78)</f>
        <v>138.51319999999998</v>
      </c>
      <c r="I78" s="34">
        <f t="shared" si="1"/>
        <v>3.6000000000000032E-2</v>
      </c>
      <c r="J78" s="141" t="s">
        <v>75</v>
      </c>
      <c r="K78" s="20"/>
      <c r="L78" s="20"/>
      <c r="V78" s="138" t="s">
        <v>64</v>
      </c>
    </row>
    <row r="79" spans="3:22" ht="10.5" x14ac:dyDescent="0.25">
      <c r="C79" s="31">
        <v>45565</v>
      </c>
      <c r="D79" s="20"/>
      <c r="E79" s="20"/>
      <c r="F79" s="142"/>
      <c r="G79" s="155"/>
      <c r="H79" s="139">
        <f>IF(ISBLANK(F79),IF(COUNT(G79:G$84)=0,"",IF(ISBLANK(G79),AVERAGE(H78,H80),(1+G79)*H75)),F79)</f>
        <v>139.244130188773</v>
      </c>
      <c r="I79" s="34">
        <f>IF(H79="","",H79/H75-1)</f>
        <v>3.1962391176353355E-2</v>
      </c>
      <c r="J79" s="141"/>
      <c r="K79" s="20"/>
      <c r="L79" s="20"/>
      <c r="V79" s="138" t="s">
        <v>64</v>
      </c>
    </row>
    <row r="80" spans="3:22" ht="10.5" x14ac:dyDescent="0.25">
      <c r="C80" s="31">
        <v>45657</v>
      </c>
      <c r="D80" s="20"/>
      <c r="E80" s="20"/>
      <c r="F80" s="142"/>
      <c r="G80" s="144">
        <v>2.7997811278454687E-2</v>
      </c>
      <c r="H80" s="139">
        <f>IF(ISBLANK(F80),IF(COUNT(G80:G$84)=0,"",IF(ISBLANK(G80),AVERAGE(H79,H81),(1+G80)*H76)),F80)</f>
        <v>139.97506037754599</v>
      </c>
      <c r="I80" s="34">
        <f t="shared" ref="I80:I84" si="2">IF(H80="","",H80/H76-1)</f>
        <v>2.7997811278454687E-2</v>
      </c>
      <c r="J80" s="141" t="s">
        <v>75</v>
      </c>
      <c r="K80" s="20"/>
      <c r="L80" s="20"/>
      <c r="V80" s="138" t="s">
        <v>64</v>
      </c>
    </row>
    <row r="81" spans="3:22" ht="10.5" x14ac:dyDescent="0.25">
      <c r="C81" s="31">
        <v>45747</v>
      </c>
      <c r="D81" s="20"/>
      <c r="E81" s="20"/>
      <c r="F81" s="142"/>
      <c r="G81" s="139"/>
      <c r="H81" s="139">
        <f>IF(ISBLANK(F81),IF(COUNT(G81:G$84)=0,"",IF(ISBLANK(G81),AVERAGE(H80,H82),(1+G81)*H77)),F81)</f>
        <v>141.1831634053604</v>
      </c>
      <c r="I81" s="34">
        <f t="shared" si="2"/>
        <v>2.7997811278454687E-2</v>
      </c>
      <c r="J81" s="35"/>
      <c r="K81" s="20"/>
      <c r="L81" s="20"/>
      <c r="V81" s="138" t="s">
        <v>64</v>
      </c>
    </row>
    <row r="82" spans="3:22" ht="10.5" x14ac:dyDescent="0.25">
      <c r="C82" s="31">
        <v>45838</v>
      </c>
      <c r="D82" s="20"/>
      <c r="E82" s="20"/>
      <c r="F82" s="142"/>
      <c r="G82" s="144">
        <v>2.7997811278454687E-2</v>
      </c>
      <c r="H82" s="139">
        <f>IF(ISBLANK(F82),IF(COUNT(G82:G$84)=0,"",IF(ISBLANK(G82),AVERAGE(H81,H83),(1+G82)*H78)),F82)</f>
        <v>142.39126643317482</v>
      </c>
      <c r="I82" s="34">
        <f t="shared" si="2"/>
        <v>2.7997811278454687E-2</v>
      </c>
      <c r="J82" s="153" t="s">
        <v>76</v>
      </c>
      <c r="K82" s="20"/>
      <c r="L82" s="20"/>
      <c r="V82" s="138" t="s">
        <v>64</v>
      </c>
    </row>
    <row r="83" spans="3:22" ht="10.5" x14ac:dyDescent="0.25">
      <c r="C83" s="31">
        <v>45930</v>
      </c>
      <c r="D83" s="20"/>
      <c r="E83" s="20"/>
      <c r="F83" s="142"/>
      <c r="G83" s="146">
        <f>$G$82</f>
        <v>2.7997811278454687E-2</v>
      </c>
      <c r="H83" s="139">
        <f>IF(ISBLANK(F83),IF(COUNT(G83:G$84)=0,"",IF(ISBLANK(G83),AVERAGE(H82,H84),(1+G83)*H79)),F83)</f>
        <v>143.14266106743085</v>
      </c>
      <c r="I83" s="34">
        <f t="shared" si="2"/>
        <v>2.7997811278454687E-2</v>
      </c>
      <c r="J83" s="35"/>
      <c r="K83" s="20"/>
      <c r="L83" s="20"/>
      <c r="V83" s="138" t="s">
        <v>64</v>
      </c>
    </row>
    <row r="84" spans="3:22" ht="10.5" x14ac:dyDescent="0.25">
      <c r="C84" s="31">
        <v>46022</v>
      </c>
      <c r="D84" s="20"/>
      <c r="E84" s="20"/>
      <c r="F84" s="142"/>
      <c r="G84" s="146">
        <f t="shared" ref="G84:G98" si="3">$G$82</f>
        <v>2.7997811278454687E-2</v>
      </c>
      <c r="H84" s="139">
        <f>IF(ISBLANK(F84),IF(COUNT(G84:G$84)=0,"",IF(ISBLANK(G84),AVERAGE(H83,H99),(1+G84)*H80)),F84)</f>
        <v>143.89405570168682</v>
      </c>
      <c r="I84" s="34">
        <f t="shared" si="2"/>
        <v>2.7997811278454687E-2</v>
      </c>
      <c r="J84" s="35"/>
      <c r="K84" s="20"/>
      <c r="L84" s="20"/>
      <c r="V84" s="138" t="s">
        <v>64</v>
      </c>
    </row>
    <row r="85" spans="3:22" ht="10.5" x14ac:dyDescent="0.25">
      <c r="C85" s="31">
        <v>46112</v>
      </c>
      <c r="D85" s="20"/>
      <c r="E85" s="20"/>
      <c r="F85" s="142"/>
      <c r="G85" s="146">
        <f t="shared" si="3"/>
        <v>2.7997811278454687E-2</v>
      </c>
      <c r="H85" s="139">
        <f>IF(ISBLANK(F85),IF(COUNT(G$84:G85)=0,"",IF(ISBLANK(G85),AVERAGE(H84,H100),(1+G85)*H81)),F85)</f>
        <v>145.13598297007891</v>
      </c>
      <c r="I85" s="34">
        <f t="shared" ref="I85:I98" si="4">IF(H85="","",H85/H81-1)</f>
        <v>2.7997811278454687E-2</v>
      </c>
      <c r="J85" s="35"/>
      <c r="K85" s="20"/>
      <c r="L85" s="20"/>
      <c r="V85" s="145"/>
    </row>
    <row r="86" spans="3:22" ht="10.5" x14ac:dyDescent="0.25">
      <c r="C86" s="31">
        <v>46203</v>
      </c>
      <c r="D86" s="20"/>
      <c r="E86" s="20"/>
      <c r="F86" s="142"/>
      <c r="G86" s="146">
        <f t="shared" si="3"/>
        <v>2.7997811278454687E-2</v>
      </c>
      <c r="H86" s="139">
        <f>IF(ISBLANK(F86),IF(COUNT(G$84:G86)=0,"",IF(ISBLANK(G86),AVERAGE(H85,H101),(1+G86)*H82)),F86)</f>
        <v>146.377910238471</v>
      </c>
      <c r="I86" s="34">
        <f t="shared" si="4"/>
        <v>2.7997811278454687E-2</v>
      </c>
      <c r="J86" s="35"/>
      <c r="K86" s="20"/>
      <c r="L86" s="20"/>
      <c r="V86" s="145"/>
    </row>
    <row r="87" spans="3:22" ht="10.5" x14ac:dyDescent="0.25">
      <c r="C87" s="31">
        <v>46295</v>
      </c>
      <c r="D87" s="20"/>
      <c r="E87" s="20"/>
      <c r="F87" s="142"/>
      <c r="G87" s="146">
        <f t="shared" si="3"/>
        <v>2.7997811278454687E-2</v>
      </c>
      <c r="H87" s="139">
        <f>IF(ISBLANK(F87),IF(COUNT(G$84:G87)=0,"",IF(ISBLANK(G87),AVERAGE(H86,H102),(1+G87)*H83)),F87)</f>
        <v>147.15034227789258</v>
      </c>
      <c r="I87" s="34">
        <f t="shared" si="4"/>
        <v>2.7997811278454687E-2</v>
      </c>
      <c r="J87" s="35"/>
      <c r="K87" s="20"/>
      <c r="L87" s="20"/>
      <c r="V87" s="145"/>
    </row>
    <row r="88" spans="3:22" ht="10.5" x14ac:dyDescent="0.25">
      <c r="C88" s="31">
        <v>46387</v>
      </c>
      <c r="D88" s="20"/>
      <c r="E88" s="20"/>
      <c r="F88" s="142"/>
      <c r="G88" s="146">
        <f t="shared" si="3"/>
        <v>2.7997811278454687E-2</v>
      </c>
      <c r="H88" s="139">
        <f>IF(ISBLANK(F88),IF(COUNT(G$84:G88)=0,"",IF(ISBLANK(G88),AVERAGE(H87,H103),(1+G88)*H84)),F88)</f>
        <v>147.92277431731409</v>
      </c>
      <c r="I88" s="34">
        <f t="shared" si="4"/>
        <v>2.7997811278454687E-2</v>
      </c>
      <c r="J88" s="35"/>
      <c r="K88" s="20"/>
      <c r="L88" s="20"/>
      <c r="V88" s="145"/>
    </row>
    <row r="89" spans="3:22" ht="10.5" x14ac:dyDescent="0.25">
      <c r="C89" s="31">
        <v>46477</v>
      </c>
      <c r="D89" s="20"/>
      <c r="E89" s="20"/>
      <c r="F89" s="142"/>
      <c r="G89" s="146">
        <f t="shared" si="3"/>
        <v>2.7997811278454687E-2</v>
      </c>
      <c r="H89" s="139">
        <f>IF(ISBLANK(F89),IF(COUNT(G$84:G89)=0,"",IF(ISBLANK(G89),AVERAGE(H88,H104),(1+G89)*H85)),F89)</f>
        <v>149.19947283098819</v>
      </c>
      <c r="I89" s="34">
        <f t="shared" si="4"/>
        <v>2.7997811278454687E-2</v>
      </c>
      <c r="J89" s="35"/>
      <c r="K89" s="20"/>
      <c r="L89" s="20"/>
      <c r="V89" s="145"/>
    </row>
    <row r="90" spans="3:22" ht="10.5" x14ac:dyDescent="0.25">
      <c r="C90" s="31">
        <v>46568</v>
      </c>
      <c r="D90" s="20"/>
      <c r="E90" s="20"/>
      <c r="F90" s="142"/>
      <c r="G90" s="146">
        <f t="shared" si="3"/>
        <v>2.7997811278454687E-2</v>
      </c>
      <c r="H90" s="139">
        <f>IF(ISBLANK(F90),IF(COUNT(G$84:G90)=0,"",IF(ISBLANK(G90),AVERAGE(H89,H105),(1+G90)*H86)),F90)</f>
        <v>150.4761713446623</v>
      </c>
      <c r="I90" s="34">
        <f t="shared" si="4"/>
        <v>2.7997811278454687E-2</v>
      </c>
      <c r="J90" s="35"/>
      <c r="K90" s="20"/>
      <c r="L90" s="20"/>
      <c r="V90" s="145"/>
    </row>
    <row r="91" spans="3:22" ht="10.5" x14ac:dyDescent="0.25">
      <c r="C91" s="31">
        <v>46660</v>
      </c>
      <c r="D91" s="20"/>
      <c r="E91" s="20"/>
      <c r="F91" s="142"/>
      <c r="G91" s="146">
        <f t="shared" si="3"/>
        <v>2.7997811278454687E-2</v>
      </c>
      <c r="H91" s="139">
        <f>IF(ISBLANK(F91),IF(COUNT(G$84:G91)=0,"",IF(ISBLANK(G91),AVERAGE(H90,H106),(1+G91)*H87)),F91)</f>
        <v>151.27022979054902</v>
      </c>
      <c r="I91" s="34">
        <f t="shared" si="4"/>
        <v>2.7997811278454687E-2</v>
      </c>
      <c r="J91" s="35"/>
      <c r="K91" s="20"/>
      <c r="L91" s="20"/>
      <c r="V91" s="145"/>
    </row>
    <row r="92" spans="3:22" ht="10.5" x14ac:dyDescent="0.25">
      <c r="C92" s="31">
        <v>46752</v>
      </c>
      <c r="D92" s="20"/>
      <c r="E92" s="20"/>
      <c r="F92" s="142"/>
      <c r="G92" s="146">
        <f t="shared" si="3"/>
        <v>2.7997811278454687E-2</v>
      </c>
      <c r="H92" s="139">
        <f>IF(ISBLANK(F92),IF(COUNT(G$84:G92)=0,"",IF(ISBLANK(G92),AVERAGE(H91,H107),(1+G92)*H88)),F92)</f>
        <v>152.06428823643569</v>
      </c>
      <c r="I92" s="34">
        <f t="shared" si="4"/>
        <v>2.7997811278454687E-2</v>
      </c>
      <c r="J92" s="35"/>
      <c r="K92" s="20"/>
      <c r="L92" s="20"/>
      <c r="V92" s="145"/>
    </row>
    <row r="93" spans="3:22" ht="10.5" x14ac:dyDescent="0.25">
      <c r="C93" s="31">
        <v>46843</v>
      </c>
      <c r="D93" s="20"/>
      <c r="E93" s="20"/>
      <c r="F93" s="142"/>
      <c r="G93" s="146">
        <f t="shared" si="3"/>
        <v>2.7997811278454687E-2</v>
      </c>
      <c r="H93" s="139">
        <f>IF(ISBLANK(F93),IF(COUNT(G$84:G93)=0,"",IF(ISBLANK(G93),AVERAGE(H92,H108),(1+G93)*H89)),F93)</f>
        <v>153.37673151415513</v>
      </c>
      <c r="I93" s="34">
        <f t="shared" si="4"/>
        <v>2.7997811278454687E-2</v>
      </c>
      <c r="J93" s="35"/>
      <c r="K93" s="20"/>
      <c r="L93" s="20"/>
      <c r="V93" s="145"/>
    </row>
    <row r="94" spans="3:22" ht="10.5" x14ac:dyDescent="0.25">
      <c r="C94" s="31">
        <v>46934</v>
      </c>
      <c r="D94" s="20"/>
      <c r="E94" s="20"/>
      <c r="F94" s="142"/>
      <c r="G94" s="146">
        <f t="shared" si="3"/>
        <v>2.7997811278454687E-2</v>
      </c>
      <c r="H94" s="139">
        <f>IF(ISBLANK(F94),IF(COUNT(G$84:G94)=0,"",IF(ISBLANK(G94),AVERAGE(H93,H109),(1+G94)*H90)),F94)</f>
        <v>154.68917479187456</v>
      </c>
      <c r="I94" s="34">
        <f t="shared" si="4"/>
        <v>2.7997811278454687E-2</v>
      </c>
      <c r="J94" s="35"/>
      <c r="K94" s="20"/>
      <c r="L94" s="20"/>
      <c r="V94" s="145"/>
    </row>
    <row r="95" spans="3:22" ht="10.5" x14ac:dyDescent="0.25">
      <c r="C95" s="31">
        <v>47026</v>
      </c>
      <c r="D95" s="20"/>
      <c r="E95" s="20"/>
      <c r="F95" s="142"/>
      <c r="G95" s="146">
        <f t="shared" si="3"/>
        <v>2.7997811278454687E-2</v>
      </c>
      <c r="H95" s="139">
        <f>IF(ISBLANK(F95),IF(COUNT(G$84:G95)=0,"",IF(ISBLANK(G95),AVERAGE(H94,H110),(1+G95)*H91)),F95)</f>
        <v>155.5054651362733</v>
      </c>
      <c r="I95" s="34">
        <f t="shared" si="4"/>
        <v>2.7997811278454687E-2</v>
      </c>
      <c r="J95" s="35"/>
      <c r="K95" s="20"/>
      <c r="L95" s="20"/>
      <c r="V95" s="145"/>
    </row>
    <row r="96" spans="3:22" ht="10.5" x14ac:dyDescent="0.25">
      <c r="C96" s="31">
        <v>47118</v>
      </c>
      <c r="D96" s="20"/>
      <c r="E96" s="20"/>
      <c r="F96" s="142"/>
      <c r="G96" s="146">
        <f t="shared" si="3"/>
        <v>2.7997811278454687E-2</v>
      </c>
      <c r="H96" s="139">
        <f>IF(ISBLANK(F96),IF(COUNT(G$84:G96)=0,"",IF(ISBLANK(G96),AVERAGE(H95,H111),(1+G96)*H92)),F96)</f>
        <v>156.32175548067195</v>
      </c>
      <c r="I96" s="34">
        <f t="shared" si="4"/>
        <v>2.7997811278454687E-2</v>
      </c>
      <c r="J96" s="35"/>
      <c r="K96" s="20"/>
      <c r="L96" s="20"/>
      <c r="V96" s="145"/>
    </row>
    <row r="97" spans="1:50" ht="10.5" x14ac:dyDescent="0.25">
      <c r="C97" s="31">
        <v>47208</v>
      </c>
      <c r="D97" s="20"/>
      <c r="E97" s="20"/>
      <c r="F97" s="142"/>
      <c r="G97" s="146">
        <f t="shared" si="3"/>
        <v>2.7997811278454687E-2</v>
      </c>
      <c r="H97" s="139">
        <f>IF(ISBLANK(F97),IF(COUNT(G$84:G97)=0,"",IF(ISBLANK(G97),AVERAGE(H96,H112),(1+G97)*H93)),F97)</f>
        <v>157.67094429759464</v>
      </c>
      <c r="I97" s="34">
        <f t="shared" si="4"/>
        <v>2.7997811278454687E-2</v>
      </c>
      <c r="J97" s="35"/>
      <c r="K97" s="20"/>
      <c r="L97" s="20"/>
      <c r="V97" s="145"/>
    </row>
    <row r="98" spans="1:50" ht="10.5" x14ac:dyDescent="0.25">
      <c r="C98" s="31">
        <v>47299</v>
      </c>
      <c r="D98" s="20"/>
      <c r="E98" s="20"/>
      <c r="F98" s="142"/>
      <c r="G98" s="146">
        <f t="shared" si="3"/>
        <v>2.7997811278454687E-2</v>
      </c>
      <c r="H98" s="139">
        <f>IF(ISBLANK(F98),IF(COUNT(G$84:G98)=0,"",IF(ISBLANK(G98),AVERAGE(H97,H113),(1+G98)*H94)),F98)</f>
        <v>159.02013311451736</v>
      </c>
      <c r="I98" s="34">
        <f t="shared" si="4"/>
        <v>2.7997811278454687E-2</v>
      </c>
      <c r="J98" s="35"/>
      <c r="K98" s="20"/>
      <c r="L98" s="20"/>
      <c r="V98" s="145"/>
    </row>
    <row r="99" spans="1:50" ht="10.5" x14ac:dyDescent="0.25">
      <c r="F99" s="20"/>
      <c r="G99" s="20"/>
      <c r="H99" s="20"/>
      <c r="I99" s="20"/>
      <c r="J99" s="20"/>
      <c r="K99" s="20"/>
      <c r="L99" s="20"/>
      <c r="V99" s="145"/>
    </row>
    <row r="100" spans="1:50" s="19" customFormat="1" ht="13" x14ac:dyDescent="0.3">
      <c r="A100" s="12"/>
      <c r="B100" s="13" t="s">
        <v>41</v>
      </c>
      <c r="C100" s="12"/>
      <c r="D100" s="12"/>
      <c r="E100" s="12"/>
      <c r="F100" s="12"/>
      <c r="G100" s="12"/>
      <c r="H100" s="12"/>
      <c r="I100" s="14"/>
      <c r="J100" s="14"/>
      <c r="K100" s="14"/>
      <c r="L100" s="14"/>
      <c r="M100" s="15"/>
      <c r="N100" s="16"/>
      <c r="O100" s="15"/>
      <c r="P100" s="16"/>
      <c r="Q100" s="15"/>
      <c r="R100" s="15"/>
      <c r="S100" s="15"/>
      <c r="T100" s="15"/>
      <c r="U100" s="15"/>
      <c r="V100" s="15"/>
      <c r="W100" s="15"/>
      <c r="X100" s="15"/>
      <c r="Y100" s="16"/>
      <c r="Z100" s="16"/>
      <c r="AA100" s="17"/>
      <c r="AB100" s="17"/>
      <c r="AC100" s="17"/>
      <c r="AD100" s="17"/>
      <c r="AE100" s="17"/>
      <c r="AF100" s="18"/>
      <c r="AG100" s="18"/>
    </row>
    <row r="101" spans="1:50" hidden="1" x14ac:dyDescent="0.2">
      <c r="J101" s="23"/>
      <c r="K101" s="23"/>
    </row>
    <row r="102" spans="1:50" hidden="1" x14ac:dyDescent="0.2">
      <c r="J102" s="23"/>
      <c r="K102" s="23"/>
    </row>
    <row r="103" spans="1:50" s="21" customFormat="1" hidden="1" x14ac:dyDescent="0.2">
      <c r="A103" s="20"/>
      <c r="B103" s="20"/>
      <c r="C103" s="20"/>
      <c r="J103" s="23"/>
      <c r="K103" s="23"/>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row>
    <row r="104" spans="1:50" s="21" customFormat="1" hidden="1" x14ac:dyDescent="0.2">
      <c r="A104" s="20"/>
      <c r="B104" s="20"/>
      <c r="C104" s="20"/>
      <c r="J104" s="23"/>
      <c r="K104" s="23"/>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row>
    <row r="105" spans="1:50" s="21" customFormat="1" hidden="1" x14ac:dyDescent="0.2">
      <c r="A105" s="20"/>
      <c r="B105" s="20"/>
      <c r="C105" s="20"/>
      <c r="J105" s="23"/>
      <c r="K105" s="23"/>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row>
    <row r="106" spans="1:50" s="21" customFormat="1" hidden="1" x14ac:dyDescent="0.2">
      <c r="A106" s="20"/>
      <c r="B106" s="20"/>
      <c r="C106" s="20"/>
      <c r="J106" s="23"/>
      <c r="K106" s="23"/>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row>
    <row r="107" spans="1:50" s="21" customFormat="1" hidden="1" x14ac:dyDescent="0.2">
      <c r="A107" s="20"/>
      <c r="B107" s="20"/>
      <c r="C107" s="20"/>
      <c r="J107" s="23"/>
      <c r="K107" s="23"/>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row>
    <row r="108" spans="1:50" s="21" customFormat="1" hidden="1" x14ac:dyDescent="0.2">
      <c r="A108" s="20"/>
      <c r="B108" s="20"/>
      <c r="C108" s="20"/>
      <c r="J108" s="23"/>
      <c r="K108" s="23"/>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row>
    <row r="109" spans="1:50" s="21" customFormat="1" hidden="1" x14ac:dyDescent="0.2">
      <c r="A109" s="20"/>
      <c r="B109" s="20"/>
      <c r="C109" s="20"/>
      <c r="J109" s="23"/>
      <c r="K109" s="23"/>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row>
    <row r="110" spans="1:50" s="21" customFormat="1" hidden="1" x14ac:dyDescent="0.2">
      <c r="A110" s="20"/>
      <c r="B110" s="20"/>
      <c r="C110" s="20"/>
      <c r="J110" s="23"/>
      <c r="K110" s="23"/>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row>
  </sheetData>
  <conditionalFormatting sqref="G21:G98">
    <cfRule type="expression" dxfId="45" priority="1">
      <formula>ISBLANK(F21)</formula>
    </cfRule>
  </conditionalFormatting>
  <conditionalFormatting sqref="V1">
    <cfRule type="cellIs" dxfId="44" priority="7" operator="equal">
      <formula>"Check"</formula>
    </cfRule>
    <cfRule type="cellIs" dxfId="43" priority="8" operator="equal">
      <formula>"Ok"</formula>
    </cfRule>
  </conditionalFormatting>
  <conditionalFormatting sqref="V9:V99 Z14:Z99">
    <cfRule type="cellIs" dxfId="42" priority="3" operator="equal">
      <formula>"Check"</formula>
    </cfRule>
    <cfRule type="cellIs" dxfId="41" priority="4" operator="equal">
      <formula>"Ok"</formula>
    </cfRule>
  </conditionalFormatting>
  <conditionalFormatting sqref="Y1">
    <cfRule type="cellIs" dxfId="40" priority="9" operator="equal">
      <formula>"Check"</formula>
    </cfRule>
    <cfRule type="cellIs" dxfId="39" priority="10" operator="equal">
      <formula>"Ok"</formula>
    </cfRule>
  </conditionalFormatting>
  <dataValidations count="2">
    <dataValidation type="list" allowBlank="1" showInputMessage="1" showErrorMessage="1" sqref="I99" xr:uid="{CE82F3F6-50DA-4E09-9330-6BC7402200E7}">
      <formula1>"Real 2010,Real 2011,Real 2012,Real 2013,Real 2014,Real 2015,Nominal"</formula1>
    </dataValidation>
    <dataValidation type="list" allowBlank="1" showInputMessage="1" showErrorMessage="1" sqref="L12:L99" xr:uid="{F4132CF8-672E-4BB8-883E-FAF79E7E843E}">
      <formula1>#REF!</formula1>
    </dataValidation>
  </dataValidations>
  <hyperlinks>
    <hyperlink ref="M1" location="Index!A1" display="Back to Index" xr:uid="{D0F45E46-CD43-4AD6-B029-90460D0B8E5B}"/>
    <hyperlink ref="X1" location="'Check|List'!A1" display="Overall Check:" xr:uid="{F964E591-0BA6-423A-9762-BB93D7CFA533}"/>
    <hyperlink ref="J76" r:id="rId1" display="Estimate: RBA, Statement on monetary policy (SoMP), November 2022." xr:uid="{11B0B6C5-6539-40E7-967A-3CC7403AE1D9}"/>
    <hyperlink ref="J78" r:id="rId2" display="Estimate: RBA, Statement on monetary policy (SoMP), November 2022." xr:uid="{36E7A4CD-6698-41B3-B5C4-A228077673E7}"/>
    <hyperlink ref="J80" r:id="rId3" display="Estimate: RBA, Statement on monetary policy (SoMP), November 2022." xr:uid="{B453B222-BCD9-4616-B1D5-E459A3713658}"/>
  </hyperlinks>
  <pageMargins left="0.7" right="0.7" top="0.75" bottom="0.75" header="0.3" footer="0.3"/>
  <pageSetup paperSize="9" orientation="portrait" verticalDpi="4" r:id="rId4"/>
  <headerFooter>
    <oddFooter>&amp;L&amp;1#&amp;"Calibri"&amp;8&amp;K000000For Official use only</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BB857-70FF-423C-AD4E-8B44C9D22BEC}">
  <sheetPr codeName="Sheet3">
    <tabColor rgb="FFCCFFCC"/>
  </sheetPr>
  <dimension ref="A1:AG44"/>
  <sheetViews>
    <sheetView showGridLines="0" zoomScale="96" zoomScaleNormal="96" workbookViewId="0"/>
  </sheetViews>
  <sheetFormatPr defaultColWidth="0" defaultRowHeight="10" zeroHeight="1" x14ac:dyDescent="0.2"/>
  <cols>
    <col min="1" max="2" width="1.1796875" style="20" customWidth="1"/>
    <col min="3" max="3" width="47" style="20" bestFit="1" customWidth="1"/>
    <col min="4" max="4" width="22.54296875" style="21" customWidth="1"/>
    <col min="5" max="5" width="12.81640625" style="21" customWidth="1"/>
    <col min="6" max="6" width="8.81640625" style="21" customWidth="1"/>
    <col min="7" max="8" width="2.81640625" style="21" customWidth="1"/>
    <col min="9" max="9" width="7.81640625" style="21" bestFit="1" customWidth="1"/>
    <col min="10" max="10" width="9.81640625" style="21" customWidth="1"/>
    <col min="11" max="23" width="8.81640625" style="20" customWidth="1"/>
    <col min="24" max="16384" width="8.54296875" style="20" hidden="1"/>
  </cols>
  <sheetData>
    <row r="1" spans="1:33" s="1" customFormat="1" ht="15.5" x14ac:dyDescent="0.35">
      <c r="B1" s="2" t="s">
        <v>42</v>
      </c>
      <c r="C1" s="2"/>
      <c r="D1" s="2"/>
      <c r="E1" s="2"/>
      <c r="F1" s="3"/>
      <c r="G1" s="3"/>
      <c r="H1" s="3"/>
      <c r="I1" s="3"/>
      <c r="J1" s="3"/>
      <c r="K1" s="3"/>
      <c r="L1" s="3"/>
      <c r="M1" s="3"/>
      <c r="N1" s="3"/>
      <c r="O1" s="3"/>
      <c r="P1" s="3"/>
      <c r="Q1" s="3"/>
      <c r="R1" s="3"/>
      <c r="S1" s="3"/>
      <c r="T1" s="3"/>
      <c r="U1" s="3"/>
      <c r="V1" s="3"/>
      <c r="W1" s="3"/>
    </row>
    <row r="2" spans="1:33" s="7" customFormat="1" ht="13.5" thickBot="1" x14ac:dyDescent="0.35">
      <c r="B2" s="8" t="s">
        <v>77</v>
      </c>
      <c r="C2" s="8"/>
      <c r="D2" s="8"/>
      <c r="E2" s="8"/>
      <c r="F2" s="9"/>
      <c r="G2" s="9"/>
      <c r="H2" s="9"/>
      <c r="I2" s="9"/>
      <c r="J2" s="9"/>
    </row>
    <row r="3" spans="1:33" s="38" customFormat="1" ht="14.75" customHeight="1" x14ac:dyDescent="0.25">
      <c r="D3" s="39"/>
      <c r="E3" s="39"/>
      <c r="F3" s="39"/>
      <c r="G3" s="39"/>
      <c r="H3" s="39"/>
      <c r="I3" s="40" t="s">
        <v>50</v>
      </c>
      <c r="J3" s="40"/>
      <c r="K3" s="202"/>
      <c r="L3" s="202"/>
      <c r="M3" s="202"/>
      <c r="N3" s="39"/>
      <c r="O3" s="202"/>
      <c r="P3" s="202"/>
      <c r="Q3" s="202"/>
      <c r="R3" s="202"/>
      <c r="S3" s="202"/>
      <c r="T3" s="202"/>
      <c r="U3" s="41"/>
      <c r="V3" s="41"/>
      <c r="W3" s="41"/>
      <c r="X3" s="41"/>
      <c r="Y3" s="41"/>
      <c r="Z3" s="41"/>
      <c r="AA3" s="41"/>
      <c r="AB3" s="41"/>
      <c r="AC3" s="41"/>
    </row>
    <row r="4" spans="1:33" s="51" customFormat="1" x14ac:dyDescent="0.2">
      <c r="A4" s="42"/>
      <c r="B4" s="42"/>
      <c r="C4" s="42"/>
      <c r="D4" s="43" t="s">
        <v>45</v>
      </c>
      <c r="E4" s="43" t="s">
        <v>72</v>
      </c>
      <c r="F4" s="44" t="s">
        <v>78</v>
      </c>
      <c r="G4" s="45"/>
      <c r="H4" s="45"/>
      <c r="I4" s="46">
        <f>DATE(PPFirstYear-2,MONTH('Input|General'!$G$9),1)</f>
        <v>43252</v>
      </c>
      <c r="J4" s="46">
        <f>DATE(PPFirstYear-1,MONTH('Input|General'!$G$9),1)</f>
        <v>43617</v>
      </c>
      <c r="K4" s="46">
        <f>DATE(PPFirstYear,MONTH('Input|General'!$G$9),1)</f>
        <v>43983</v>
      </c>
      <c r="L4" s="46">
        <f>DATE(PPFirstYear+1,MONTH('Input|General'!$G$9),1)</f>
        <v>44348</v>
      </c>
      <c r="M4" s="46">
        <f>DATE(PPFirstYear+2,MONTH('Input|General'!$G$9),1)</f>
        <v>44713</v>
      </c>
      <c r="N4" s="46">
        <f>DATE(PPFirstYear+3,MONTH('Input|General'!$G$9),1)</f>
        <v>45078</v>
      </c>
      <c r="O4" s="46">
        <f>DATE(PPFirstYear+4,MONTH('Input|General'!$G$9),1)</f>
        <v>45444</v>
      </c>
      <c r="P4" s="46">
        <f>DATE(PPFirstYear+5,MONTH('Input|General'!$G$9),1)</f>
        <v>45809</v>
      </c>
      <c r="Q4" s="46">
        <f>DATE(PPFirstYear+6,MONTH('Input|General'!$G$9),1)</f>
        <v>46174</v>
      </c>
      <c r="R4" s="46">
        <f>DATE(PPFirstYear+7,MONTH('Input|General'!$G$9),1)</f>
        <v>46539</v>
      </c>
      <c r="S4" s="46">
        <f>DATE(PPFirstYear+8,MONTH('Input|General'!$G$9),1)</f>
        <v>46905</v>
      </c>
      <c r="T4" s="46">
        <f>DATE(PPFirstYear+9,MONTH('Input|General'!$G$9),1)</f>
        <v>47270</v>
      </c>
      <c r="U4" s="47"/>
      <c r="V4" s="47"/>
      <c r="W4" s="48"/>
      <c r="X4" s="49"/>
      <c r="Y4" s="49"/>
      <c r="Z4" s="49"/>
      <c r="AA4" s="49"/>
      <c r="AB4" s="49"/>
      <c r="AC4" s="49"/>
      <c r="AD4" s="49"/>
      <c r="AE4" s="49"/>
      <c r="AF4" s="50"/>
      <c r="AG4" s="50"/>
    </row>
    <row r="5" spans="1:33" s="10" customFormat="1" ht="3" customHeight="1" x14ac:dyDescent="0.2">
      <c r="D5" s="11"/>
      <c r="E5" s="11"/>
      <c r="F5" s="11"/>
      <c r="G5" s="11"/>
      <c r="H5" s="11"/>
      <c r="I5" s="11"/>
      <c r="J5" s="11"/>
    </row>
    <row r="6" spans="1:33" s="10" customFormat="1" x14ac:dyDescent="0.2">
      <c r="D6" s="11"/>
      <c r="E6" s="11"/>
      <c r="F6" s="11"/>
      <c r="G6" s="11"/>
      <c r="H6" s="11"/>
      <c r="I6" s="11"/>
      <c r="J6" s="11"/>
    </row>
    <row r="7" spans="1:33" s="10" customFormat="1" ht="3" customHeight="1" x14ac:dyDescent="0.2">
      <c r="D7" s="11"/>
      <c r="E7" s="11"/>
      <c r="F7" s="11"/>
      <c r="G7" s="11"/>
      <c r="H7" s="11"/>
      <c r="I7" s="11"/>
      <c r="J7" s="11"/>
    </row>
    <row r="8" spans="1:33" s="19" customFormat="1" ht="13" x14ac:dyDescent="0.3">
      <c r="A8" s="12"/>
      <c r="B8" s="13" t="s">
        <v>79</v>
      </c>
      <c r="C8" s="12"/>
      <c r="D8" s="12"/>
      <c r="E8" s="12"/>
      <c r="F8" s="14"/>
      <c r="G8" s="14"/>
      <c r="H8" s="14"/>
      <c r="I8" s="14"/>
      <c r="J8" s="14"/>
      <c r="K8" s="15"/>
      <c r="L8" s="16"/>
      <c r="M8" s="15"/>
      <c r="N8" s="16"/>
      <c r="O8" s="15"/>
      <c r="P8" s="15"/>
      <c r="Q8" s="15"/>
      <c r="R8" s="15"/>
      <c r="S8" s="15"/>
      <c r="T8" s="15"/>
      <c r="U8" s="15"/>
      <c r="V8" s="15"/>
      <c r="W8" s="16"/>
      <c r="X8" s="17"/>
      <c r="Y8" s="17"/>
      <c r="Z8" s="17"/>
      <c r="AA8" s="17"/>
      <c r="AB8" s="17"/>
      <c r="AC8" s="17"/>
      <c r="AD8" s="17"/>
      <c r="AE8" s="17"/>
      <c r="AF8" s="18"/>
      <c r="AG8" s="18"/>
    </row>
    <row r="9" spans="1:33" x14ac:dyDescent="0.2"/>
    <row r="10" spans="1:33" ht="10.5" x14ac:dyDescent="0.25">
      <c r="C10" s="29" t="s">
        <v>80</v>
      </c>
      <c r="I10" s="52">
        <f>I$4</f>
        <v>43252</v>
      </c>
      <c r="J10" s="52">
        <f>J$4</f>
        <v>43617</v>
      </c>
      <c r="K10" s="52">
        <f t="shared" ref="K10:T10" si="0">K$4</f>
        <v>43983</v>
      </c>
      <c r="L10" s="52">
        <f t="shared" si="0"/>
        <v>44348</v>
      </c>
      <c r="M10" s="52">
        <f t="shared" si="0"/>
        <v>44713</v>
      </c>
      <c r="N10" s="52">
        <f t="shared" si="0"/>
        <v>45078</v>
      </c>
      <c r="O10" s="52">
        <f t="shared" si="0"/>
        <v>45444</v>
      </c>
      <c r="P10" s="52">
        <f t="shared" si="0"/>
        <v>45809</v>
      </c>
      <c r="Q10" s="52">
        <f t="shared" si="0"/>
        <v>46174</v>
      </c>
      <c r="R10" s="52">
        <f t="shared" si="0"/>
        <v>46539</v>
      </c>
      <c r="S10" s="52">
        <f t="shared" si="0"/>
        <v>46905</v>
      </c>
      <c r="T10" s="52">
        <f t="shared" si="0"/>
        <v>47270</v>
      </c>
    </row>
    <row r="11" spans="1:33" ht="10.5" x14ac:dyDescent="0.25">
      <c r="C11" s="29"/>
      <c r="J11" s="20"/>
      <c r="P11" s="53"/>
      <c r="Q11" s="53"/>
      <c r="R11" s="53"/>
      <c r="S11" s="53"/>
      <c r="T11" s="53"/>
      <c r="U11" s="24"/>
      <c r="V11" s="24"/>
      <c r="W11" s="24"/>
    </row>
    <row r="12" spans="1:33" x14ac:dyDescent="0.2">
      <c r="C12" s="54" t="s">
        <v>80</v>
      </c>
      <c r="D12" s="55" t="s">
        <v>81</v>
      </c>
      <c r="E12" s="21" t="s">
        <v>82</v>
      </c>
      <c r="I12" s="53">
        <f>IF(I10=I4,LOOKUP(EOMONTH(I4,0),'Input|Inflation'!$C$9:$C$98,'Input|Inflation'!$I$9:$I$98),"")</f>
        <v>2.0776874435411097E-2</v>
      </c>
      <c r="J12" s="53">
        <f>IF(J10=J4,LOOKUP(EOMONTH(J4,0),'Input|Inflation'!$C$9:$C$98,'Input|Inflation'!$I$9:$I$98),"")</f>
        <v>1.5929203539823078E-2</v>
      </c>
      <c r="K12" s="53">
        <f>IF(K10=K4,LOOKUP(EOMONTH(K4,0),'Input|Inflation'!$C$9:$C$98,'Input|Inflation'!$I$9:$I$98),"")</f>
        <v>-3.4843205574912606E-3</v>
      </c>
      <c r="L12" s="53">
        <f>IF(L10=L4,LOOKUP(EOMONTH(L4,0),'Input|Inflation'!$C$9:$C$98,'Input|Inflation'!$I$9:$I$98),"")</f>
        <v>3.8461538461538325E-2</v>
      </c>
      <c r="M12" s="53">
        <f>IF(M10=M4,LOOKUP(EOMONTH(M4,0),'Input|Inflation'!$C$9:$C$98,'Input|Inflation'!$I$9:$I$98),"")</f>
        <v>6.1447811447811418E-2</v>
      </c>
      <c r="N12" s="53">
        <f>IF(N10=N4,LOOKUP(EOMONTH(N4,0),'Input|Inflation'!$C$9:$C$98,'Input|Inflation'!$I$9:$I$98),"")</f>
        <v>6.0269627279936566E-2</v>
      </c>
      <c r="O12" s="53">
        <f>IF(O10=O4,LOOKUP(EOMONTH(O4,0),'Input|Inflation'!$C$9:$C$98,'Input|Inflation'!$I$9:$I$98),"")</f>
        <v>3.6000000000000032E-2</v>
      </c>
      <c r="P12" s="53">
        <f>IF(P10=P4,LOOKUP(EOMONTH(P4,0),'Input|Inflation'!$C$9:$C$98,'Input|Inflation'!$I$9:$I$98),"")</f>
        <v>2.7997811278454687E-2</v>
      </c>
      <c r="Q12" s="53">
        <f>IF(Q10=Q4,LOOKUP(EOMONTH(Q4,0),'Input|Inflation'!$C$9:$C$98,'Input|Inflation'!$I$9:$I$98),"")</f>
        <v>2.7997811278454687E-2</v>
      </c>
      <c r="R12" s="53">
        <f>IF(R10=R4,LOOKUP(EOMONTH(R4,0),'Input|Inflation'!$C$9:$C$98,'Input|Inflation'!$I$9:$I$98),"")</f>
        <v>2.7997811278454687E-2</v>
      </c>
      <c r="S12" s="53">
        <f>IF(S10=S4,LOOKUP(EOMONTH(S4,0),'Input|Inflation'!$C$9:$C$98,'Input|Inflation'!$I$9:$I$98),"")</f>
        <v>2.7997811278454687E-2</v>
      </c>
      <c r="T12" s="53">
        <f>IF(T10=T4,LOOKUP(EOMONTH(T4,0),'Input|Inflation'!$C$9:$C$98,'Input|Inflation'!$I$9:$I$98),"")</f>
        <v>2.7997811278454687E-2</v>
      </c>
      <c r="U12" s="56"/>
    </row>
    <row r="13" spans="1:33" x14ac:dyDescent="0.2">
      <c r="D13" s="20"/>
      <c r="E13" s="20"/>
      <c r="F13" s="20"/>
      <c r="G13" s="20"/>
      <c r="H13" s="20"/>
      <c r="I13" s="20"/>
      <c r="J13" s="20"/>
    </row>
    <row r="14" spans="1:33" ht="10.5" x14ac:dyDescent="0.25">
      <c r="C14" s="29" t="s">
        <v>83</v>
      </c>
      <c r="I14" s="52">
        <f>I$4</f>
        <v>43252</v>
      </c>
      <c r="J14" s="52">
        <f>J$4</f>
        <v>43617</v>
      </c>
      <c r="K14" s="52">
        <f t="shared" ref="K14:T14" si="1">K$4</f>
        <v>43983</v>
      </c>
      <c r="L14" s="52">
        <f t="shared" si="1"/>
        <v>44348</v>
      </c>
      <c r="M14" s="52">
        <f t="shared" si="1"/>
        <v>44713</v>
      </c>
      <c r="N14" s="52">
        <f t="shared" si="1"/>
        <v>45078</v>
      </c>
      <c r="O14" s="52">
        <f t="shared" si="1"/>
        <v>45444</v>
      </c>
      <c r="P14" s="52">
        <f t="shared" si="1"/>
        <v>45809</v>
      </c>
      <c r="Q14" s="52">
        <f t="shared" si="1"/>
        <v>46174</v>
      </c>
      <c r="R14" s="52">
        <f t="shared" si="1"/>
        <v>46539</v>
      </c>
      <c r="S14" s="52">
        <f t="shared" si="1"/>
        <v>46905</v>
      </c>
      <c r="T14" s="52">
        <f t="shared" si="1"/>
        <v>47270</v>
      </c>
    </row>
    <row r="15" spans="1:33" ht="10.5" x14ac:dyDescent="0.25">
      <c r="C15" s="29"/>
      <c r="I15" s="20"/>
      <c r="J15" s="24"/>
      <c r="K15" s="24"/>
      <c r="L15" s="24"/>
      <c r="M15" s="24"/>
      <c r="N15" s="24"/>
      <c r="O15" s="24"/>
      <c r="P15" s="57"/>
      <c r="Q15" s="57"/>
      <c r="R15" s="57"/>
      <c r="S15" s="57"/>
      <c r="T15" s="57"/>
    </row>
    <row r="16" spans="1:33" x14ac:dyDescent="0.2">
      <c r="C16" s="58">
        <f t="array" ref="C16:C27">TRANSPOSE(I4:T4)</f>
        <v>43252</v>
      </c>
      <c r="D16" s="55" t="str">
        <f t="shared" ref="D16:D26" si="2">IF(ISNONTEXT($C16),"calculated","")</f>
        <v>calculated</v>
      </c>
      <c r="E16" s="21" t="str">
        <f>IF(ISNONTEXT($C16),"index","")</f>
        <v>index</v>
      </c>
      <c r="I16" s="59">
        <f t="shared" ref="I16" si="3">IF(AND($C16&gt;I$14,ISNONTEXT($C16)),J16/(1+J$12),IF(AND($C16=I$14,I$14=I$4),1,IF(AND($C16&lt;I$14,I$14=I$4),H16*(1+I$12),0)))</f>
        <v>1</v>
      </c>
      <c r="J16" s="59">
        <f t="shared" ref="J16" si="4">IF(AND($C16&gt;J$14,ISNONTEXT($C16)),K16/(1+K$12),IF(AND($C16=J$14,J$14=J$4),1,IF(AND($C16&lt;J$14,J$14=J$4),I16*(1+J$12),0)))</f>
        <v>1.0159292035398231</v>
      </c>
      <c r="K16" s="59">
        <f t="shared" ref="K16" si="5">IF(AND($C16&gt;K$14,ISNONTEXT($C16)),L16/(1+L$12),IF(AND($C16=K$14,K$14=K$4),1,IF(AND($C16&lt;K$14,K$14=K$4),J16*(1+K$12),0)))</f>
        <v>1.0123893805309736</v>
      </c>
      <c r="L16" s="59">
        <f t="shared" ref="L16" si="6">IF(AND($C16&gt;L$14,ISNONTEXT($C16)),M16/(1+M$12),IF(AND($C16=L$14,L$14=L$4),1,IF(AND($C16&lt;L$14,L$14=L$4),K16*(1+L$12),0)))</f>
        <v>1.0513274336283187</v>
      </c>
      <c r="M16" s="59">
        <f t="shared" ref="M16" si="7">IF(AND($C16&gt;M$14,ISNONTEXT($C16)),N16/(1+N$12),IF(AND($C16=M$14,M$14=M$4),1,IF(AND($C16&lt;M$14,M$14=M$4),L16*(1+M$12),0)))</f>
        <v>1.1159292035398232</v>
      </c>
      <c r="N16" s="59">
        <f t="shared" ref="N16" si="8">IF(AND($C16&gt;N$14,ISNONTEXT($C16)),O16/(1+O$12),IF(AND($C16=N$14,N$14=N$4),1,IF(AND($C16&lt;N$14,N$14=N$4),M16*(1+N$12),0)))</f>
        <v>1.1831858407079647</v>
      </c>
      <c r="O16" s="59">
        <f>IF(AND($C16&gt;O$14,ISNONTEXT($C16)),P16/(1+P$12),IF(AND($C16=O$14,O$14=O$4),1,IF(AND($C16&lt;O$14,O$14=O$4),N16*(1+O$12),0)))</f>
        <v>1.2257805309734515</v>
      </c>
      <c r="P16" s="59">
        <f t="shared" ref="P16:T16" si="9">IF(AND($C16&gt;P$14,ISNONTEXT($C16)),Q16/(1+Q$12),IF(AND($C16=P$14,P$14=P$4),1,IF(AND($C16&lt;P$14,P$14=P$4),O16*(1+P$12),0)))</f>
        <v>1.2600997029484502</v>
      </c>
      <c r="Q16" s="59">
        <f t="shared" si="9"/>
        <v>1.2953797366236377</v>
      </c>
      <c r="R16" s="59">
        <f t="shared" si="9"/>
        <v>1.3316475340235607</v>
      </c>
      <c r="S16" s="59">
        <f t="shared" si="9"/>
        <v>1.3689307503705719</v>
      </c>
      <c r="T16" s="59">
        <f t="shared" si="9"/>
        <v>1.4072578151727204</v>
      </c>
    </row>
    <row r="17" spans="3:22" x14ac:dyDescent="0.2">
      <c r="C17" s="58">
        <v>43617</v>
      </c>
      <c r="D17" s="55" t="str">
        <f t="shared" si="2"/>
        <v>calculated</v>
      </c>
      <c r="E17" s="21" t="str">
        <f>IF(ISNONTEXT($C17),"index","")</f>
        <v>index</v>
      </c>
      <c r="I17" s="59">
        <f t="shared" ref="I17:I27" si="10">IF(AND($C17&gt;I$14,ISNONTEXT($C17)),J17/(1+J$12),IF(AND($C17=I$14,I$14=I$4),1,IF(AND($C17&lt;I$14,I$14=I$4),H17*(1+I$12),0)))</f>
        <v>0.98432055749128911</v>
      </c>
      <c r="J17" s="59">
        <f t="shared" ref="J17:J27" si="11">IF(AND($C17&gt;J$14,ISNONTEXT($C17)),K17/(1+K$12),IF(AND($C17=J$14,J$14=J$4),1,IF(AND($C17&lt;J$14,J$14=J$4),I17*(1+J$12),0)))</f>
        <v>1</v>
      </c>
      <c r="K17" s="59">
        <f t="shared" ref="K17:K27" si="12">IF(AND($C17&gt;K$14,ISNONTEXT($C17)),L17/(1+L$12),IF(AND($C17=K$14,K$14=K$4),1,IF(AND($C17&lt;K$14,K$14=K$4),J17*(1+K$12),0)))</f>
        <v>0.99651567944250874</v>
      </c>
      <c r="L17" s="59">
        <f t="shared" ref="L17:L27" si="13">IF(AND($C17&gt;L$14,ISNONTEXT($C17)),M17/(1+M$12),IF(AND($C17=L$14,L$14=L$4),1,IF(AND($C17&lt;L$14,L$14=L$4),K17*(1+L$12),0)))</f>
        <v>1.0348432055749128</v>
      </c>
      <c r="M17" s="59">
        <f t="shared" ref="M17:M27" si="14">IF(AND($C17&gt;M$14,ISNONTEXT($C17)),N17/(1+N$12),IF(AND($C17=M$14,M$14=M$4),1,IF(AND($C17&lt;M$14,M$14=M$4),L17*(1+M$12),0)))</f>
        <v>1.0984320557491287</v>
      </c>
      <c r="N17" s="59">
        <f t="shared" ref="N17:N27" si="15">IF(AND($C17&gt;N$14,ISNONTEXT($C17)),O17/(1+O$12),IF(AND($C17=N$14,N$14=N$4),1,IF(AND($C17&lt;N$14,N$14=N$4),M17*(1+N$12),0)))</f>
        <v>1.1646341463414631</v>
      </c>
      <c r="O17" s="59">
        <f t="shared" ref="O17:T17" si="16">IF(AND($C17&gt;O$14,ISNONTEXT($C17)),P17/(1+P$12),IF(AND($C17=O$14,O$14=O$4),1,IF(AND($C17&lt;O$14,O$14=O$4),N17*(1+O$12),0)))</f>
        <v>1.2065609756097557</v>
      </c>
      <c r="P17" s="59">
        <f t="shared" si="16"/>
        <v>1.2403420421008258</v>
      </c>
      <c r="Q17" s="59">
        <f t="shared" si="16"/>
        <v>1.2750689045162977</v>
      </c>
      <c r="R17" s="59">
        <f t="shared" si="16"/>
        <v>1.310768043071971</v>
      </c>
      <c r="S17" s="59">
        <f t="shared" si="16"/>
        <v>1.3474666793717294</v>
      </c>
      <c r="T17" s="59">
        <f t="shared" si="16"/>
        <v>1.3851927971647851</v>
      </c>
    </row>
    <row r="18" spans="3:22" x14ac:dyDescent="0.2">
      <c r="C18" s="58">
        <v>43983</v>
      </c>
      <c r="D18" s="55" t="str">
        <f t="shared" si="2"/>
        <v>calculated</v>
      </c>
      <c r="E18" s="21" t="str">
        <f t="shared" ref="E18:E27" si="17">IF(ISNONTEXT($C18),"index","")</f>
        <v>index</v>
      </c>
      <c r="I18" s="59">
        <f t="shared" si="10"/>
        <v>0.9877622377622377</v>
      </c>
      <c r="J18" s="59">
        <f t="shared" si="11"/>
        <v>1.0034965034965035</v>
      </c>
      <c r="K18" s="59">
        <f t="shared" si="12"/>
        <v>1</v>
      </c>
      <c r="L18" s="59">
        <f t="shared" si="13"/>
        <v>1.0384615384615383</v>
      </c>
      <c r="M18" s="59">
        <f t="shared" si="14"/>
        <v>1.1022727272727271</v>
      </c>
      <c r="N18" s="59">
        <f t="shared" si="15"/>
        <v>1.1687062937062935</v>
      </c>
      <c r="O18" s="59">
        <f t="shared" ref="O18:T18" si="18">IF(AND($C18&gt;O$14,ISNONTEXT($C18)),P18/(1+P$12),IF(AND($C18=O$14,O$14=O$4),1,IF(AND($C18&lt;O$14,O$14=O$4),N18*(1+O$12),0)))</f>
        <v>1.2107797202797201</v>
      </c>
      <c r="P18" s="59">
        <f t="shared" si="18"/>
        <v>1.2446789023878919</v>
      </c>
      <c r="Q18" s="59">
        <f t="shared" si="18"/>
        <v>1.2795271873992222</v>
      </c>
      <c r="R18" s="59">
        <f t="shared" si="18"/>
        <v>1.3153511481176776</v>
      </c>
      <c r="S18" s="59">
        <f t="shared" si="18"/>
        <v>1.3521781013275751</v>
      </c>
      <c r="T18" s="59">
        <f t="shared" si="18"/>
        <v>1.3900361286234038</v>
      </c>
    </row>
    <row r="19" spans="3:22" x14ac:dyDescent="0.2">
      <c r="C19" s="58">
        <v>44348</v>
      </c>
      <c r="D19" s="55" t="str">
        <f t="shared" si="2"/>
        <v>calculated</v>
      </c>
      <c r="E19" s="21" t="str">
        <f t="shared" si="17"/>
        <v>index</v>
      </c>
      <c r="I19" s="59">
        <f t="shared" si="10"/>
        <v>0.95117845117845123</v>
      </c>
      <c r="J19" s="59">
        <f t="shared" si="11"/>
        <v>0.96632996632996648</v>
      </c>
      <c r="K19" s="59">
        <f t="shared" si="12"/>
        <v>0.96296296296296313</v>
      </c>
      <c r="L19" s="59">
        <f t="shared" si="13"/>
        <v>1</v>
      </c>
      <c r="M19" s="59">
        <f t="shared" si="14"/>
        <v>1.0614478114478114</v>
      </c>
      <c r="N19" s="59">
        <f t="shared" si="15"/>
        <v>1.1254208754208754</v>
      </c>
      <c r="O19" s="59">
        <f t="shared" ref="O19:T19" si="19">IF(AND($C19&gt;O$14,ISNONTEXT($C19)),P19/(1+P$12),IF(AND($C19=O$14,O$14=O$4),1,IF(AND($C19&lt;O$14,O$14=O$4),N19*(1+O$12),0)))</f>
        <v>1.165936026936027</v>
      </c>
      <c r="P19" s="59">
        <f t="shared" si="19"/>
        <v>1.1985796837809333</v>
      </c>
      <c r="Q19" s="59">
        <f t="shared" si="19"/>
        <v>1.2321372915696218</v>
      </c>
      <c r="R19" s="59">
        <f t="shared" si="19"/>
        <v>1.2666344389281343</v>
      </c>
      <c r="S19" s="59">
        <f t="shared" si="19"/>
        <v>1.3020974309080355</v>
      </c>
      <c r="T19" s="59">
        <f t="shared" si="19"/>
        <v>1.3385533090447594</v>
      </c>
    </row>
    <row r="20" spans="3:22" x14ac:dyDescent="0.2">
      <c r="C20" s="58">
        <v>44713</v>
      </c>
      <c r="D20" s="55" t="str">
        <f t="shared" si="2"/>
        <v>calculated</v>
      </c>
      <c r="E20" s="21" t="str">
        <f t="shared" si="17"/>
        <v>index</v>
      </c>
      <c r="I20" s="59">
        <f t="shared" si="10"/>
        <v>0.89611419508326728</v>
      </c>
      <c r="J20" s="59">
        <f t="shared" si="11"/>
        <v>0.91038858049167337</v>
      </c>
      <c r="K20" s="59">
        <f t="shared" si="12"/>
        <v>0.90721649484536093</v>
      </c>
      <c r="L20" s="59">
        <f t="shared" si="13"/>
        <v>0.94210943695479776</v>
      </c>
      <c r="M20" s="59">
        <f t="shared" si="14"/>
        <v>1</v>
      </c>
      <c r="N20" s="59">
        <f t="shared" si="15"/>
        <v>1.0602696272799366</v>
      </c>
      <c r="O20" s="59">
        <f t="shared" ref="O20:T20" si="20">IF(AND($C20&gt;O$14,ISNONTEXT($C20)),P20/(1+P$12),IF(AND($C20=O$14,O$14=O$4),1,IF(AND($C20&lt;O$14,O$14=O$4),N20*(1+O$12),0)))</f>
        <v>1.0984393338620144</v>
      </c>
      <c r="P20" s="59">
        <f t="shared" si="20"/>
        <v>1.1291932310323145</v>
      </c>
      <c r="Q20" s="59">
        <f t="shared" si="20"/>
        <v>1.1608081700116657</v>
      </c>
      <c r="R20" s="59">
        <f t="shared" si="20"/>
        <v>1.1933082580861407</v>
      </c>
      <c r="S20" s="59">
        <f t="shared" si="20"/>
        <v>1.2267182774930581</v>
      </c>
      <c r="T20" s="59">
        <f t="shared" si="20"/>
        <v>1.2610637043181396</v>
      </c>
    </row>
    <row r="21" spans="3:22" x14ac:dyDescent="0.2">
      <c r="C21" s="58">
        <v>45078</v>
      </c>
      <c r="D21" s="55" t="str">
        <f t="shared" si="2"/>
        <v>calculated</v>
      </c>
      <c r="E21" s="21" t="str">
        <f t="shared" si="17"/>
        <v>index</v>
      </c>
      <c r="I21" s="59">
        <f t="shared" si="10"/>
        <v>0.84517576664173533</v>
      </c>
      <c r="J21" s="59">
        <f t="shared" si="11"/>
        <v>0.85863874345549751</v>
      </c>
      <c r="K21" s="59">
        <f t="shared" si="12"/>
        <v>0.85564697083021701</v>
      </c>
      <c r="L21" s="59">
        <f t="shared" si="13"/>
        <v>0.88855646970830215</v>
      </c>
      <c r="M21" s="59">
        <f t="shared" si="14"/>
        <v>0.94315632011967088</v>
      </c>
      <c r="N21" s="59">
        <f t="shared" si="15"/>
        <v>1</v>
      </c>
      <c r="O21" s="59">
        <f t="shared" ref="O21:T21" si="21">IF(AND($C21&gt;O$14,ISNONTEXT($C21)),P21/(1+P$12),IF(AND($C21=O$14,O$14=O$4),1,IF(AND($C21&lt;O$14,O$14=O$4),N21*(1+O$12),0)))</f>
        <v>1.036</v>
      </c>
      <c r="P21" s="59">
        <f t="shared" si="21"/>
        <v>1.0650057324844791</v>
      </c>
      <c r="Q21" s="59">
        <f t="shared" si="21"/>
        <v>1.094823561993052</v>
      </c>
      <c r="R21" s="59">
        <f t="shared" si="21"/>
        <v>1.1254762254649391</v>
      </c>
      <c r="S21" s="59">
        <f t="shared" si="21"/>
        <v>1.156987096423894</v>
      </c>
      <c r="T21" s="59">
        <f t="shared" si="21"/>
        <v>1.1893802028011775</v>
      </c>
    </row>
    <row r="22" spans="3:22" x14ac:dyDescent="0.2">
      <c r="C22" s="58">
        <v>45444</v>
      </c>
      <c r="D22" s="55" t="str">
        <f t="shared" si="2"/>
        <v>calculated</v>
      </c>
      <c r="E22" s="21" t="str">
        <f t="shared" si="17"/>
        <v>index</v>
      </c>
      <c r="I22" s="59">
        <f t="shared" si="10"/>
        <v>0.81580672455765935</v>
      </c>
      <c r="J22" s="59">
        <f t="shared" si="11"/>
        <v>0.82880187592229471</v>
      </c>
      <c r="K22" s="59">
        <f t="shared" si="12"/>
        <v>0.82591406450793137</v>
      </c>
      <c r="L22" s="59">
        <f t="shared" si="13"/>
        <v>0.85767999006592865</v>
      </c>
      <c r="M22" s="59">
        <f t="shared" si="14"/>
        <v>0.91038254837806065</v>
      </c>
      <c r="N22" s="59">
        <f t="shared" si="15"/>
        <v>0.96525096525096521</v>
      </c>
      <c r="O22" s="59">
        <f t="shared" ref="O22:T22" si="22">IF(AND($C22&gt;O$14,ISNONTEXT($C22)),P22/(1+P$12),IF(AND($C22=O$14,O$14=O$4),1,IF(AND($C22&lt;O$14,O$14=O$4),N22*(1+O$12),0)))</f>
        <v>1</v>
      </c>
      <c r="P22" s="59">
        <f t="shared" si="22"/>
        <v>1.0279978112784547</v>
      </c>
      <c r="Q22" s="59">
        <f t="shared" si="22"/>
        <v>1.0567794999932933</v>
      </c>
      <c r="R22" s="59">
        <f t="shared" si="22"/>
        <v>1.0863670129970453</v>
      </c>
      <c r="S22" s="59">
        <f t="shared" si="22"/>
        <v>1.116782911606075</v>
      </c>
      <c r="T22" s="59">
        <f t="shared" si="22"/>
        <v>1.1480503888042251</v>
      </c>
    </row>
    <row r="23" spans="3:22" x14ac:dyDescent="0.2">
      <c r="C23" s="58">
        <v>45809</v>
      </c>
      <c r="D23" s="55" t="str">
        <f t="shared" si="2"/>
        <v>calculated</v>
      </c>
      <c r="E23" s="21" t="str">
        <f t="shared" si="17"/>
        <v>index</v>
      </c>
      <c r="I23" s="59">
        <f t="shared" si="10"/>
        <v>0.79358799756887932</v>
      </c>
      <c r="J23" s="59">
        <f t="shared" si="11"/>
        <v>0.80622922230891458</v>
      </c>
      <c r="K23" s="59">
        <f t="shared" si="12"/>
        <v>0.80342006125557341</v>
      </c>
      <c r="L23" s="59">
        <f t="shared" si="13"/>
        <v>0.83432083284232617</v>
      </c>
      <c r="M23" s="59">
        <f t="shared" si="14"/>
        <v>0.88558802206580245</v>
      </c>
      <c r="N23" s="59">
        <f t="shared" si="15"/>
        <v>0.93896208207928455</v>
      </c>
      <c r="O23" s="59">
        <f t="shared" ref="O23:T23" si="23">IF(AND($C23&gt;O$14,ISNONTEXT($C23)),P23/(1+P$12),IF(AND($C23=O$14,O$14=O$4),1,IF(AND($C23&lt;O$14,O$14=O$4),N23*(1+O$12),0)))</f>
        <v>0.9727647170341388</v>
      </c>
      <c r="P23" s="59">
        <f t="shared" si="23"/>
        <v>1</v>
      </c>
      <c r="Q23" s="59">
        <f t="shared" si="23"/>
        <v>1.0279978112784547</v>
      </c>
      <c r="R23" s="59">
        <f t="shared" si="23"/>
        <v>1.0567794999932933</v>
      </c>
      <c r="S23" s="59">
        <f t="shared" si="23"/>
        <v>1.0863670129970453</v>
      </c>
      <c r="T23" s="59">
        <f t="shared" si="23"/>
        <v>1.116782911606075</v>
      </c>
    </row>
    <row r="24" spans="3:22" x14ac:dyDescent="0.2">
      <c r="C24" s="58">
        <v>46174</v>
      </c>
      <c r="D24" s="55" t="str">
        <f t="shared" si="2"/>
        <v>calculated</v>
      </c>
      <c r="E24" s="21" t="str">
        <f t="shared" si="17"/>
        <v>index</v>
      </c>
      <c r="I24" s="59">
        <f t="shared" si="10"/>
        <v>0.77197440389677974</v>
      </c>
      <c r="J24" s="59">
        <f t="shared" si="11"/>
        <v>0.78427134130398513</v>
      </c>
      <c r="K24" s="59">
        <f t="shared" si="12"/>
        <v>0.7815386885468284</v>
      </c>
      <c r="L24" s="59">
        <f t="shared" si="13"/>
        <v>0.81159786887555241</v>
      </c>
      <c r="M24" s="59">
        <f t="shared" si="14"/>
        <v>0.86146878169366292</v>
      </c>
      <c r="N24" s="59">
        <f t="shared" si="15"/>
        <v>0.91338918407964098</v>
      </c>
      <c r="O24" s="59">
        <f t="shared" ref="O24:T24" si="24">IF(AND($C24&gt;O$14,ISNONTEXT($C24)),P24/(1+P$12),IF(AND($C24=O$14,O$14=O$4),1,IF(AND($C24&lt;O$14,O$14=O$4),N24*(1+O$12),0)))</f>
        <v>0.94627119470650811</v>
      </c>
      <c r="P24" s="59">
        <f t="shared" si="24"/>
        <v>0.9727647170341388</v>
      </c>
      <c r="Q24" s="59">
        <f t="shared" si="24"/>
        <v>1</v>
      </c>
      <c r="R24" s="59">
        <f t="shared" si="24"/>
        <v>1.0279978112784547</v>
      </c>
      <c r="S24" s="59">
        <f t="shared" si="24"/>
        <v>1.0567794999932933</v>
      </c>
      <c r="T24" s="59">
        <f t="shared" si="24"/>
        <v>1.0863670129970453</v>
      </c>
    </row>
    <row r="25" spans="3:22" x14ac:dyDescent="0.2">
      <c r="C25" s="58">
        <v>46539</v>
      </c>
      <c r="D25" s="55" t="str">
        <f t="shared" si="2"/>
        <v>calculated</v>
      </c>
      <c r="E25" s="21" t="str">
        <f t="shared" si="17"/>
        <v>index</v>
      </c>
      <c r="I25" s="59">
        <f t="shared" si="10"/>
        <v>0.75094946256424888</v>
      </c>
      <c r="J25" s="59">
        <f t="shared" si="11"/>
        <v>0.76291148940155551</v>
      </c>
      <c r="K25" s="59">
        <f t="shared" si="12"/>
        <v>0.76025326121548742</v>
      </c>
      <c r="L25" s="59">
        <f t="shared" si="13"/>
        <v>0.78949377126223685</v>
      </c>
      <c r="M25" s="59">
        <f t="shared" si="14"/>
        <v>0.83800643565798039</v>
      </c>
      <c r="N25" s="59">
        <f t="shared" si="15"/>
        <v>0.88851277119327499</v>
      </c>
      <c r="O25" s="59">
        <f t="shared" ref="O25:T25" si="25">IF(AND($C25&gt;O$14,ISNONTEXT($C25)),P25/(1+P$12),IF(AND($C25=O$14,O$14=O$4),1,IF(AND($C25&lt;O$14,O$14=O$4),N25*(1+O$12),0)))</f>
        <v>0.92049923095623287</v>
      </c>
      <c r="P25" s="59">
        <f t="shared" si="25"/>
        <v>0.94627119470650811</v>
      </c>
      <c r="Q25" s="59">
        <f t="shared" si="25"/>
        <v>0.9727647170341388</v>
      </c>
      <c r="R25" s="59">
        <f t="shared" si="25"/>
        <v>1</v>
      </c>
      <c r="S25" s="59">
        <f t="shared" si="25"/>
        <v>1.0279978112784547</v>
      </c>
      <c r="T25" s="59">
        <f t="shared" si="25"/>
        <v>1.0567794999932933</v>
      </c>
    </row>
    <row r="26" spans="3:22" x14ac:dyDescent="0.2">
      <c r="C26" s="58">
        <v>46905</v>
      </c>
      <c r="D26" s="55" t="str">
        <f t="shared" si="2"/>
        <v>calculated</v>
      </c>
      <c r="E26" s="21" t="str">
        <f t="shared" si="17"/>
        <v>index</v>
      </c>
      <c r="I26" s="59">
        <f t="shared" si="10"/>
        <v>0.73049714145825018</v>
      </c>
      <c r="J26" s="59">
        <f t="shared" si="11"/>
        <v>0.7421333791097976</v>
      </c>
      <c r="K26" s="59">
        <f t="shared" si="12"/>
        <v>0.73954754852056492</v>
      </c>
      <c r="L26" s="59">
        <f t="shared" si="13"/>
        <v>0.767991685002125</v>
      </c>
      <c r="M26" s="59">
        <f t="shared" si="14"/>
        <v>0.81518309325562255</v>
      </c>
      <c r="N26" s="59">
        <f t="shared" si="15"/>
        <v>0.86431387445104468</v>
      </c>
      <c r="O26" s="59">
        <f t="shared" ref="O26:T26" si="26">IF(AND($C26&gt;O$14,ISNONTEXT($C26)),P26/(1+P$12),IF(AND($C26=O$14,O$14=O$4),1,IF(AND($C26&lt;O$14,O$14=O$4),N26*(1+O$12),0)))</f>
        <v>0.8954291739312823</v>
      </c>
      <c r="P26" s="59">
        <f t="shared" si="26"/>
        <v>0.92049923095623287</v>
      </c>
      <c r="Q26" s="59">
        <f t="shared" si="26"/>
        <v>0.94627119470650811</v>
      </c>
      <c r="R26" s="59">
        <f t="shared" si="26"/>
        <v>0.9727647170341388</v>
      </c>
      <c r="S26" s="59">
        <f t="shared" si="26"/>
        <v>1</v>
      </c>
      <c r="T26" s="59">
        <f t="shared" si="26"/>
        <v>1.0279978112784547</v>
      </c>
    </row>
    <row r="27" spans="3:22" x14ac:dyDescent="0.2">
      <c r="C27" s="58">
        <v>47270</v>
      </c>
      <c r="D27" s="55" t="str">
        <f>IF(ISNONTEXT($C27),"calculated","")</f>
        <v>calculated</v>
      </c>
      <c r="E27" s="21" t="str">
        <f t="shared" si="17"/>
        <v>index</v>
      </c>
      <c r="I27" s="59">
        <f t="shared" si="10"/>
        <v>0.710601845104882</v>
      </c>
      <c r="J27" s="59">
        <f t="shared" si="11"/>
        <v>0.72192116653133154</v>
      </c>
      <c r="K27" s="59">
        <f t="shared" si="12"/>
        <v>0.71940576176989834</v>
      </c>
      <c r="L27" s="59">
        <f t="shared" si="13"/>
        <v>0.74707521414566358</v>
      </c>
      <c r="M27" s="59">
        <f t="shared" si="14"/>
        <v>0.79298135104181966</v>
      </c>
      <c r="N27" s="59">
        <f t="shared" si="15"/>
        <v>0.84077404150905066</v>
      </c>
      <c r="O27" s="59">
        <f t="shared" ref="O27:T27" si="27">IF(AND($C27&gt;O$14,ISNONTEXT($C27)),P27/(1+P$12),IF(AND($C27=O$14,O$14=O$4),1,IF(AND($C27&lt;O$14,O$14=O$4),N27*(1+O$12),0)))</f>
        <v>0.87104190700337647</v>
      </c>
      <c r="P27" s="59">
        <f t="shared" si="27"/>
        <v>0.8954291739312823</v>
      </c>
      <c r="Q27" s="59">
        <f t="shared" si="27"/>
        <v>0.92049923095623287</v>
      </c>
      <c r="R27" s="59">
        <f t="shared" si="27"/>
        <v>0.94627119470650811</v>
      </c>
      <c r="S27" s="59">
        <f t="shared" si="27"/>
        <v>0.9727647170341388</v>
      </c>
      <c r="T27" s="59">
        <f t="shared" si="27"/>
        <v>1</v>
      </c>
    </row>
    <row r="28" spans="3:22" x14ac:dyDescent="0.2">
      <c r="C28" s="54"/>
      <c r="J28" s="59"/>
      <c r="K28" s="59"/>
      <c r="L28" s="59"/>
      <c r="M28" s="59"/>
      <c r="N28" s="59"/>
      <c r="O28" s="59"/>
      <c r="P28" s="59"/>
      <c r="Q28" s="59"/>
      <c r="R28" s="59"/>
      <c r="S28" s="59"/>
      <c r="T28" s="59"/>
    </row>
    <row r="29" spans="3:22" ht="10.5" x14ac:dyDescent="0.25">
      <c r="C29" s="29" t="s">
        <v>84</v>
      </c>
      <c r="I29" s="52">
        <f>I$4</f>
        <v>43252</v>
      </c>
      <c r="J29" s="52">
        <f>J$4</f>
        <v>43617</v>
      </c>
      <c r="K29" s="52">
        <f t="shared" ref="K29:T29" si="28">K$4</f>
        <v>43983</v>
      </c>
      <c r="L29" s="52">
        <f t="shared" si="28"/>
        <v>44348</v>
      </c>
      <c r="M29" s="52">
        <f t="shared" si="28"/>
        <v>44713</v>
      </c>
      <c r="N29" s="52">
        <f t="shared" si="28"/>
        <v>45078</v>
      </c>
      <c r="O29" s="52">
        <f t="shared" si="28"/>
        <v>45444</v>
      </c>
      <c r="P29" s="52">
        <f t="shared" si="28"/>
        <v>45809</v>
      </c>
      <c r="Q29" s="52">
        <f t="shared" si="28"/>
        <v>46174</v>
      </c>
      <c r="R29" s="52">
        <f t="shared" si="28"/>
        <v>46539</v>
      </c>
      <c r="S29" s="52">
        <f t="shared" si="28"/>
        <v>46905</v>
      </c>
      <c r="T29" s="52">
        <f t="shared" si="28"/>
        <v>47270</v>
      </c>
    </row>
    <row r="30" spans="3:22" x14ac:dyDescent="0.2">
      <c r="C30" s="54"/>
      <c r="J30" s="20"/>
      <c r="Q30" s="59"/>
      <c r="R30" s="59"/>
      <c r="S30" s="59"/>
      <c r="T30" s="59"/>
    </row>
    <row r="31" spans="3:22" x14ac:dyDescent="0.2">
      <c r="C31" s="58">
        <f t="array" ref="C31:C42">TRANSPOSE(I4:T4)</f>
        <v>43252</v>
      </c>
      <c r="D31" s="55" t="str">
        <f t="shared" ref="D31:D42" si="29">IF(ISNONTEXT($C31),"calculated","")</f>
        <v>calculated</v>
      </c>
      <c r="E31" s="21" t="str">
        <f>IF(ISNONTEXT($C31),"index","")</f>
        <v>index</v>
      </c>
      <c r="I31" s="59">
        <f t="shared" ref="I31:T31" si="30">IF(AND(I$29=I$4,ISNONTEXT($C31)),1/I16*(1+I$12)^0.5,0)</f>
        <v>1.0103350307870211</v>
      </c>
      <c r="J31" s="59">
        <f t="shared" si="30"/>
        <v>0.99212930482437067</v>
      </c>
      <c r="K31" s="59">
        <f t="shared" si="30"/>
        <v>0.98603989601991704</v>
      </c>
      <c r="L31" s="59">
        <f t="shared" si="30"/>
        <v>0.96929776407832791</v>
      </c>
      <c r="M31" s="59">
        <f t="shared" si="30"/>
        <v>0.92323589193571021</v>
      </c>
      <c r="N31" s="59">
        <f t="shared" si="30"/>
        <v>0.87027237220771392</v>
      </c>
      <c r="O31" s="59">
        <f t="shared" si="30"/>
        <v>0.83036141159106291</v>
      </c>
      <c r="P31" s="59">
        <f t="shared" si="30"/>
        <v>0.80462067146260852</v>
      </c>
      <c r="Q31" s="59">
        <f t="shared" si="30"/>
        <v>0.78270659979514323</v>
      </c>
      <c r="R31" s="59">
        <f t="shared" si="30"/>
        <v>0.76138936407047531</v>
      </c>
      <c r="S31" s="59">
        <f t="shared" si="30"/>
        <v>0.7406527092928189</v>
      </c>
      <c r="T31" s="59">
        <f t="shared" si="30"/>
        <v>0.72048082317579731</v>
      </c>
    </row>
    <row r="32" spans="3:22" x14ac:dyDescent="0.2">
      <c r="C32" s="58">
        <v>43617</v>
      </c>
      <c r="D32" s="55" t="str">
        <f t="shared" si="29"/>
        <v>calculated</v>
      </c>
      <c r="E32" s="21" t="str">
        <f>IF(ISNONTEXT($C32),"index","")</f>
        <v>index</v>
      </c>
      <c r="I32" s="59">
        <f t="shared" ref="I32:T32" si="31">IF(AND(I$29=I$4,ISNONTEXT($C32)),1/I17*(1+I$12)^0.5,0)</f>
        <v>1.0264288631358409</v>
      </c>
      <c r="J32" s="59">
        <f t="shared" si="31"/>
        <v>1.0079331344587412</v>
      </c>
      <c r="K32" s="59">
        <f t="shared" si="31"/>
        <v>1.0017467262220046</v>
      </c>
      <c r="L32" s="59">
        <f t="shared" si="31"/>
        <v>0.98473790545302708</v>
      </c>
      <c r="M32" s="59">
        <f t="shared" si="31"/>
        <v>0.93794230437362447</v>
      </c>
      <c r="N32" s="59">
        <f t="shared" si="31"/>
        <v>0.88413511795969557</v>
      </c>
      <c r="O32" s="59">
        <f t="shared" si="31"/>
        <v>0.84358840752791209</v>
      </c>
      <c r="P32" s="59">
        <f t="shared" si="31"/>
        <v>0.81743763791068602</v>
      </c>
      <c r="Q32" s="59">
        <f t="shared" si="31"/>
        <v>0.7951744925352433</v>
      </c>
      <c r="R32" s="59">
        <f t="shared" si="31"/>
        <v>0.77351769022381078</v>
      </c>
      <c r="S32" s="59">
        <f t="shared" si="31"/>
        <v>0.75245071705146604</v>
      </c>
      <c r="T32" s="59">
        <f t="shared" si="31"/>
        <v>0.73195750885470423</v>
      </c>
      <c r="U32" s="60"/>
      <c r="V32" s="60"/>
    </row>
    <row r="33" spans="1:33" x14ac:dyDescent="0.2">
      <c r="C33" s="58">
        <v>43983</v>
      </c>
      <c r="D33" s="55" t="str">
        <f t="shared" si="29"/>
        <v>calculated</v>
      </c>
      <c r="E33" s="21" t="str">
        <f t="shared" ref="E33:E42" si="32">IF(ISNONTEXT($C33),"index","")</f>
        <v>index</v>
      </c>
      <c r="I33" s="59">
        <f t="shared" ref="I33:O36" si="33">IF(AND(I$29=I$4,ISNONTEXT($C33)),1/I18*(1+I$12)^0.5,0)</f>
        <v>1.0228524559472145</v>
      </c>
      <c r="J33" s="59">
        <f t="shared" si="33"/>
        <v>1.0044211723177698</v>
      </c>
      <c r="K33" s="59">
        <f t="shared" si="33"/>
        <v>0.99825631951042948</v>
      </c>
      <c r="L33" s="59">
        <f t="shared" si="33"/>
        <v>0.98130676292531638</v>
      </c>
      <c r="M33" s="59">
        <f t="shared" si="33"/>
        <v>0.93467421272075479</v>
      </c>
      <c r="N33" s="59">
        <f t="shared" si="33"/>
        <v>0.88105450779258843</v>
      </c>
      <c r="O33" s="59">
        <f t="shared" si="33"/>
        <v>0.84064907509750109</v>
      </c>
      <c r="P33" s="59">
        <f t="shared" ref="P33:T33" si="34">IF(AND(P$29=P$4,ISNONTEXT($C33)),1/P18*(1+P$12)^0.5,0)</f>
        <v>0.81458942314444638</v>
      </c>
      <c r="Q33" s="59">
        <f t="shared" si="34"/>
        <v>0.79240384970410982</v>
      </c>
      <c r="R33" s="59">
        <f t="shared" si="34"/>
        <v>0.77082250663418062</v>
      </c>
      <c r="S33" s="59">
        <f t="shared" si="34"/>
        <v>0.74982893754954427</v>
      </c>
      <c r="T33" s="59">
        <f t="shared" si="34"/>
        <v>0.7294071342593913</v>
      </c>
      <c r="U33" s="60"/>
      <c r="V33" s="60"/>
    </row>
    <row r="34" spans="1:33" x14ac:dyDescent="0.2">
      <c r="C34" s="58">
        <v>44348</v>
      </c>
      <c r="D34" s="55" t="str">
        <f t="shared" si="29"/>
        <v>calculated</v>
      </c>
      <c r="E34" s="21" t="str">
        <f t="shared" si="32"/>
        <v>index</v>
      </c>
      <c r="I34" s="59">
        <f t="shared" si="33"/>
        <v>1.0621929350221071</v>
      </c>
      <c r="J34" s="59">
        <f t="shared" si="33"/>
        <v>1.0430527558684535</v>
      </c>
      <c r="K34" s="59">
        <f t="shared" si="33"/>
        <v>1.0366507933377536</v>
      </c>
      <c r="L34" s="59">
        <f t="shared" si="33"/>
        <v>1.019049330730136</v>
      </c>
      <c r="M34" s="59">
        <f t="shared" si="33"/>
        <v>0.970623220902322</v>
      </c>
      <c r="N34" s="59">
        <f t="shared" si="33"/>
        <v>0.9149412196307648</v>
      </c>
      <c r="O34" s="59">
        <f t="shared" si="33"/>
        <v>0.8729817318320201</v>
      </c>
      <c r="P34" s="59">
        <f t="shared" ref="P34:T34" si="35">IF(AND(P$29=P$4,ISNONTEXT($C34)),1/P19*(1+P$12)^0.5,0)</f>
        <v>0.84591978557307879</v>
      </c>
      <c r="Q34" s="59">
        <f t="shared" si="35"/>
        <v>0.82288092084657527</v>
      </c>
      <c r="R34" s="59">
        <f t="shared" si="35"/>
        <v>0.80046952612011046</v>
      </c>
      <c r="S34" s="59">
        <f t="shared" si="35"/>
        <v>0.77866851207068033</v>
      </c>
      <c r="T34" s="59">
        <f t="shared" si="35"/>
        <v>0.75746125480782922</v>
      </c>
      <c r="U34" s="60"/>
      <c r="V34" s="60"/>
    </row>
    <row r="35" spans="1:33" x14ac:dyDescent="0.2">
      <c r="C35" s="58">
        <v>44713</v>
      </c>
      <c r="D35" s="55" t="str">
        <f t="shared" si="29"/>
        <v>calculated</v>
      </c>
      <c r="E35" s="21" t="str">
        <f t="shared" si="32"/>
        <v>index</v>
      </c>
      <c r="I35" s="59">
        <f t="shared" si="33"/>
        <v>1.1274623662145431</v>
      </c>
      <c r="J35" s="59">
        <f t="shared" si="33"/>
        <v>1.1071460649411782</v>
      </c>
      <c r="K35" s="59">
        <f t="shared" si="33"/>
        <v>1.100350715823996</v>
      </c>
      <c r="L35" s="59">
        <f t="shared" si="33"/>
        <v>1.0816676818608599</v>
      </c>
      <c r="M35" s="59">
        <f t="shared" si="33"/>
        <v>1.0302658935671953</v>
      </c>
      <c r="N35" s="59">
        <f t="shared" si="33"/>
        <v>0.97116235518046667</v>
      </c>
      <c r="O35" s="59">
        <f t="shared" si="33"/>
        <v>0.92662454868701805</v>
      </c>
      <c r="P35" s="59">
        <f t="shared" ref="P35:T35" si="36">IF(AND(P$29=P$4,ISNONTEXT($C35)),1/P20*(1+P$12)^0.5,0)</f>
        <v>0.8978997050569465</v>
      </c>
      <c r="Q35" s="59">
        <f t="shared" si="36"/>
        <v>0.87344515251475729</v>
      </c>
      <c r="R35" s="59">
        <f t="shared" si="36"/>
        <v>0.84965662663085806</v>
      </c>
      <c r="S35" s="59">
        <f t="shared" si="36"/>
        <v>0.82651598798074744</v>
      </c>
      <c r="T35" s="59">
        <f t="shared" si="36"/>
        <v>0.80400559117228354</v>
      </c>
      <c r="U35" s="60"/>
      <c r="V35" s="60"/>
    </row>
    <row r="36" spans="1:33" x14ac:dyDescent="0.2">
      <c r="C36" s="58">
        <v>45078</v>
      </c>
      <c r="D36" s="55" t="str">
        <f t="shared" si="29"/>
        <v>calculated</v>
      </c>
      <c r="E36" s="21" t="str">
        <f t="shared" si="32"/>
        <v>index</v>
      </c>
      <c r="I36" s="59">
        <f t="shared" si="33"/>
        <v>1.1954141027984488</v>
      </c>
      <c r="J36" s="59">
        <f t="shared" si="33"/>
        <v>1.1738733456196315</v>
      </c>
      <c r="K36" s="59">
        <f t="shared" si="33"/>
        <v>1.1666684433439196</v>
      </c>
      <c r="L36" s="59">
        <f t="shared" si="33"/>
        <v>1.1468593898873669</v>
      </c>
      <c r="M36" s="59">
        <f t="shared" si="33"/>
        <v>1.0923596349717211</v>
      </c>
      <c r="N36" s="59">
        <f t="shared" si="33"/>
        <v>1.0296939483554988</v>
      </c>
      <c r="O36" s="59">
        <f t="shared" si="33"/>
        <v>0.98247186486482407</v>
      </c>
      <c r="P36" s="59">
        <f t="shared" ref="P36:T36" si="37">IF(AND(P$29=P$4,ISNONTEXT($C36)),1/P21*(1+P$12)^0.5,0)</f>
        <v>0.95201578561549371</v>
      </c>
      <c r="Q36" s="59">
        <f t="shared" si="37"/>
        <v>0.92608736630628896</v>
      </c>
      <c r="R36" s="59">
        <f t="shared" si="37"/>
        <v>0.90086511483382792</v>
      </c>
      <c r="S36" s="59">
        <f t="shared" si="37"/>
        <v>0.87632979851725556</v>
      </c>
      <c r="T36" s="59">
        <f t="shared" si="37"/>
        <v>0.85246270848322203</v>
      </c>
      <c r="U36" s="60"/>
      <c r="V36" s="60"/>
    </row>
    <row r="37" spans="1:33" x14ac:dyDescent="0.2">
      <c r="C37" s="58">
        <v>45444</v>
      </c>
      <c r="D37" s="55" t="str">
        <f t="shared" si="29"/>
        <v>calculated</v>
      </c>
      <c r="E37" s="21" t="str">
        <f t="shared" si="32"/>
        <v>index</v>
      </c>
      <c r="I37" s="59">
        <f t="shared" ref="I37:T37" si="38">IF(AND(I$29=I$4,ISNONTEXT($C37)),1/I22*(1+I$12)^0.5,0)</f>
        <v>1.2384490104991932</v>
      </c>
      <c r="J37" s="59">
        <f t="shared" si="38"/>
        <v>1.2161327860619384</v>
      </c>
      <c r="K37" s="59">
        <f t="shared" si="38"/>
        <v>1.2086685073043009</v>
      </c>
      <c r="L37" s="59">
        <f t="shared" si="38"/>
        <v>1.1881463279233122</v>
      </c>
      <c r="M37" s="59">
        <f t="shared" si="38"/>
        <v>1.1316845818307031</v>
      </c>
      <c r="N37" s="59">
        <f t="shared" si="38"/>
        <v>1.0667629304962967</v>
      </c>
      <c r="O37" s="59">
        <f t="shared" si="38"/>
        <v>1.0178408519999578</v>
      </c>
      <c r="P37" s="59">
        <f t="shared" si="38"/>
        <v>0.98628835389765146</v>
      </c>
      <c r="Q37" s="59">
        <f t="shared" si="38"/>
        <v>0.95942651149331548</v>
      </c>
      <c r="R37" s="59">
        <f t="shared" si="38"/>
        <v>0.93329625896784596</v>
      </c>
      <c r="S37" s="59">
        <f t="shared" si="38"/>
        <v>0.90787767126387708</v>
      </c>
      <c r="T37" s="59">
        <f t="shared" si="38"/>
        <v>0.88315136598861821</v>
      </c>
      <c r="U37" s="60"/>
      <c r="V37" s="60"/>
    </row>
    <row r="38" spans="1:33" x14ac:dyDescent="0.2">
      <c r="C38" s="58">
        <v>45809</v>
      </c>
      <c r="D38" s="55" t="str">
        <f t="shared" si="29"/>
        <v>calculated</v>
      </c>
      <c r="E38" s="21" t="str">
        <f t="shared" si="32"/>
        <v>index</v>
      </c>
      <c r="I38" s="59">
        <f t="shared" ref="I38:T38" si="39">IF(AND(I$29=I$4,ISNONTEXT($C38)),1/I23*(1+I$12)^0.5,0)</f>
        <v>1.2731228721731385</v>
      </c>
      <c r="J38" s="59">
        <f t="shared" si="39"/>
        <v>1.2501818422956414</v>
      </c>
      <c r="K38" s="59">
        <f t="shared" si="39"/>
        <v>1.2425085800700182</v>
      </c>
      <c r="L38" s="59">
        <f t="shared" si="39"/>
        <v>1.221411824583698</v>
      </c>
      <c r="M38" s="59">
        <f t="shared" si="39"/>
        <v>1.1633692731795358</v>
      </c>
      <c r="N38" s="59">
        <f t="shared" si="39"/>
        <v>1.0966299577031833</v>
      </c>
      <c r="O38" s="59">
        <f t="shared" si="39"/>
        <v>1.0463381680857542</v>
      </c>
      <c r="P38" s="59">
        <f t="shared" si="39"/>
        <v>1.0139022690962156</v>
      </c>
      <c r="Q38" s="59">
        <f t="shared" si="39"/>
        <v>0.98628835389765146</v>
      </c>
      <c r="R38" s="59">
        <f t="shared" si="39"/>
        <v>0.95942651149331548</v>
      </c>
      <c r="S38" s="59">
        <f t="shared" si="39"/>
        <v>0.93329625896784596</v>
      </c>
      <c r="T38" s="59">
        <f t="shared" si="39"/>
        <v>0.90787767126387708</v>
      </c>
      <c r="U38" s="60"/>
      <c r="V38" s="60"/>
    </row>
    <row r="39" spans="1:33" x14ac:dyDescent="0.2">
      <c r="C39" s="58">
        <v>46174</v>
      </c>
      <c r="D39" s="55" t="str">
        <f t="shared" si="29"/>
        <v>calculated</v>
      </c>
      <c r="E39" s="21" t="str">
        <f t="shared" si="32"/>
        <v>index</v>
      </c>
      <c r="I39" s="59">
        <f t="shared" ref="I39:T39" si="40">IF(AND(I$29=I$4,ISNONTEXT($C39)),1/I24*(1+I$12)^0.5,0)</f>
        <v>1.308767526082526</v>
      </c>
      <c r="J39" s="59">
        <f t="shared" si="40"/>
        <v>1.2851841975799856</v>
      </c>
      <c r="K39" s="59">
        <f t="shared" si="40"/>
        <v>1.2772961008066792</v>
      </c>
      <c r="L39" s="59">
        <f t="shared" si="40"/>
        <v>1.2556086823416654</v>
      </c>
      <c r="M39" s="59">
        <f t="shared" si="40"/>
        <v>1.1959410665371695</v>
      </c>
      <c r="N39" s="59">
        <f t="shared" si="40"/>
        <v>1.1273331963012569</v>
      </c>
      <c r="O39" s="59">
        <f t="shared" si="40"/>
        <v>1.0756333466492631</v>
      </c>
      <c r="P39" s="59">
        <f t="shared" si="40"/>
        <v>1.0422893134811684</v>
      </c>
      <c r="Q39" s="59">
        <f t="shared" si="40"/>
        <v>1.0139022690962156</v>
      </c>
      <c r="R39" s="59">
        <f t="shared" si="40"/>
        <v>0.98628835389765146</v>
      </c>
      <c r="S39" s="59">
        <f t="shared" si="40"/>
        <v>0.95942651149331548</v>
      </c>
      <c r="T39" s="59">
        <f t="shared" si="40"/>
        <v>0.93329625896784596</v>
      </c>
      <c r="U39" s="60"/>
      <c r="V39" s="60"/>
    </row>
    <row r="40" spans="1:33" x14ac:dyDescent="0.2">
      <c r="C40" s="58">
        <v>46539</v>
      </c>
      <c r="D40" s="55" t="str">
        <f t="shared" si="29"/>
        <v>calculated</v>
      </c>
      <c r="E40" s="21" t="str">
        <f t="shared" si="32"/>
        <v>index</v>
      </c>
      <c r="I40" s="59">
        <f t="shared" ref="I40:T40" si="41">IF(AND(I$29=I$4,ISNONTEXT($C40)),1/I25*(1+I$12)^0.5,0)</f>
        <v>1.3454101522851545</v>
      </c>
      <c r="J40" s="59">
        <f t="shared" si="41"/>
        <v>1.3211665422018826</v>
      </c>
      <c r="K40" s="59">
        <f t="shared" si="41"/>
        <v>1.3130575959837707</v>
      </c>
      <c r="L40" s="59">
        <f t="shared" si="41"/>
        <v>1.2907629772694564</v>
      </c>
      <c r="M40" s="59">
        <f t="shared" si="41"/>
        <v>1.229424798818231</v>
      </c>
      <c r="N40" s="59">
        <f t="shared" si="41"/>
        <v>1.1588960583792365</v>
      </c>
      <c r="O40" s="59">
        <f t="shared" si="41"/>
        <v>1.1057487260935619</v>
      </c>
      <c r="P40" s="59">
        <f t="shared" si="41"/>
        <v>1.0714711329775644</v>
      </c>
      <c r="Q40" s="59">
        <f t="shared" si="41"/>
        <v>1.0422893134811684</v>
      </c>
      <c r="R40" s="59">
        <f t="shared" si="41"/>
        <v>1.0139022690962156</v>
      </c>
      <c r="S40" s="59">
        <f t="shared" si="41"/>
        <v>0.98628835389765146</v>
      </c>
      <c r="T40" s="59">
        <f t="shared" si="41"/>
        <v>0.95942651149331548</v>
      </c>
      <c r="U40" s="60"/>
      <c r="V40" s="60"/>
    </row>
    <row r="41" spans="1:33" x14ac:dyDescent="0.2">
      <c r="C41" s="58">
        <v>46905</v>
      </c>
      <c r="D41" s="55" t="str">
        <f t="shared" si="29"/>
        <v>calculated</v>
      </c>
      <c r="E41" s="21" t="str">
        <f t="shared" si="32"/>
        <v>index</v>
      </c>
      <c r="I41" s="59">
        <f t="shared" ref="I41:T41" si="42">IF(AND(I$29=I$4,ISNONTEXT($C41)),1/I26*(1+I$12)^0.5,0)</f>
        <v>1.3830786918209514</v>
      </c>
      <c r="J41" s="59">
        <f t="shared" si="42"/>
        <v>1.3581563137178594</v>
      </c>
      <c r="K41" s="59">
        <f t="shared" si="42"/>
        <v>1.3498203347538655</v>
      </c>
      <c r="L41" s="59">
        <f t="shared" si="42"/>
        <v>1.326901515512263</v>
      </c>
      <c r="M41" s="59">
        <f t="shared" si="42"/>
        <v>1.2638460023165958</v>
      </c>
      <c r="N41" s="59">
        <f t="shared" si="42"/>
        <v>1.1913426115130834</v>
      </c>
      <c r="O41" s="59">
        <f t="shared" si="42"/>
        <v>1.1367072702481209</v>
      </c>
      <c r="P41" s="59">
        <f t="shared" si="42"/>
        <v>1.1014699795489822</v>
      </c>
      <c r="Q41" s="59">
        <f t="shared" si="42"/>
        <v>1.0714711329775644</v>
      </c>
      <c r="R41" s="59">
        <f t="shared" si="42"/>
        <v>1.0422893134811684</v>
      </c>
      <c r="S41" s="59">
        <f t="shared" si="42"/>
        <v>1.0139022690962156</v>
      </c>
      <c r="T41" s="59">
        <f t="shared" si="42"/>
        <v>0.98628835389765146</v>
      </c>
      <c r="U41" s="60"/>
      <c r="V41" s="60"/>
    </row>
    <row r="42" spans="1:33" x14ac:dyDescent="0.2">
      <c r="C42" s="58">
        <v>47270</v>
      </c>
      <c r="D42" s="55" t="str">
        <f t="shared" si="29"/>
        <v>calculated</v>
      </c>
      <c r="E42" s="21" t="str">
        <f t="shared" si="32"/>
        <v>index</v>
      </c>
      <c r="I42" s="59">
        <f t="shared" ref="I42:T42" si="43">IF(AND(I$29=I$4,ISNONTEXT($C42)),1/I27*(1+I$12)^0.5,0)</f>
        <v>1.4218018680178064</v>
      </c>
      <c r="J42" s="59">
        <f t="shared" si="43"/>
        <v>1.3961817178759737</v>
      </c>
      <c r="K42" s="59">
        <f t="shared" si="43"/>
        <v>1.3876123497461248</v>
      </c>
      <c r="L42" s="59">
        <f t="shared" si="43"/>
        <v>1.3640518537286705</v>
      </c>
      <c r="M42" s="59">
        <f t="shared" si="43"/>
        <v>1.2992309241744853</v>
      </c>
      <c r="N42" s="59">
        <f t="shared" si="43"/>
        <v>1.2246975971182079</v>
      </c>
      <c r="O42" s="59">
        <f t="shared" si="43"/>
        <v>1.1685325858793751</v>
      </c>
      <c r="P42" s="59">
        <f t="shared" si="43"/>
        <v>1.1323087281652779</v>
      </c>
      <c r="Q42" s="59">
        <f t="shared" si="43"/>
        <v>1.1014699795489822</v>
      </c>
      <c r="R42" s="59">
        <f t="shared" si="43"/>
        <v>1.0714711329775644</v>
      </c>
      <c r="S42" s="59">
        <f t="shared" si="43"/>
        <v>1.0422893134811684</v>
      </c>
      <c r="T42" s="59">
        <f t="shared" si="43"/>
        <v>1.0139022690962156</v>
      </c>
      <c r="U42" s="60"/>
      <c r="V42" s="60"/>
    </row>
    <row r="43" spans="1:33" x14ac:dyDescent="0.2">
      <c r="C43" s="54"/>
      <c r="K43" s="59"/>
      <c r="L43" s="59"/>
      <c r="M43" s="59"/>
      <c r="N43" s="59"/>
      <c r="O43" s="59"/>
      <c r="P43" s="57"/>
      <c r="Q43" s="59"/>
      <c r="R43" s="59"/>
      <c r="S43" s="59"/>
      <c r="T43" s="59"/>
    </row>
    <row r="44" spans="1:33" s="19" customFormat="1" ht="13" x14ac:dyDescent="0.3">
      <c r="A44" s="12"/>
      <c r="B44" s="13" t="s">
        <v>41</v>
      </c>
      <c r="C44" s="12"/>
      <c r="D44" s="12"/>
      <c r="E44" s="12"/>
      <c r="F44" s="14"/>
      <c r="G44" s="14"/>
      <c r="H44" s="14"/>
      <c r="I44" s="14"/>
      <c r="J44" s="14"/>
      <c r="K44" s="15"/>
      <c r="L44" s="16"/>
      <c r="M44" s="15"/>
      <c r="N44" s="16"/>
      <c r="O44" s="15"/>
      <c r="P44" s="15"/>
      <c r="Q44" s="15"/>
      <c r="R44" s="15"/>
      <c r="S44" s="15"/>
      <c r="T44" s="15"/>
      <c r="U44" s="15"/>
      <c r="V44" s="15"/>
      <c r="W44" s="16"/>
      <c r="X44" s="17"/>
      <c r="Y44" s="17"/>
      <c r="Z44" s="17"/>
      <c r="AA44" s="17"/>
      <c r="AB44" s="17"/>
      <c r="AC44" s="17"/>
      <c r="AD44" s="17"/>
      <c r="AE44" s="17"/>
      <c r="AF44" s="18"/>
      <c r="AG44" s="18"/>
    </row>
  </sheetData>
  <mergeCells count="2">
    <mergeCell ref="K3:M3"/>
    <mergeCell ref="O3:T3"/>
  </mergeCells>
  <pageMargins left="0.7" right="0.7" top="0.75" bottom="0.75" header="0.3" footer="0.3"/>
  <pageSetup paperSize="9" orientation="portrait" verticalDpi="4" r:id="rId1"/>
  <headerFooter>
    <oddFooter>&amp;L&amp;1#&amp;"Calibri"&amp;8&amp;K000000For Official use only</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18C72-A51B-4B53-A4FA-3C4E5AF7813B}">
  <sheetPr codeName="Sheet4">
    <tabColor rgb="FFCCFFCC"/>
  </sheetPr>
  <dimension ref="A1:AD45"/>
  <sheetViews>
    <sheetView showGridLines="0" zoomScale="95" zoomScaleNormal="95" workbookViewId="0"/>
  </sheetViews>
  <sheetFormatPr defaultColWidth="0" defaultRowHeight="10" zeroHeight="1" x14ac:dyDescent="0.2"/>
  <cols>
    <col min="1" max="2" width="1.1796875" style="20" customWidth="1"/>
    <col min="3" max="3" width="62.54296875" style="20" bestFit="1" customWidth="1"/>
    <col min="4" max="4" width="22.54296875" style="21" customWidth="1"/>
    <col min="5" max="5" width="12.81640625" style="21" customWidth="1"/>
    <col min="6" max="6" width="8.81640625" style="21" customWidth="1"/>
    <col min="7" max="9" width="2.81640625" style="21" customWidth="1"/>
    <col min="10" max="23" width="8.81640625" style="20" customWidth="1"/>
    <col min="24" max="38" width="8.54296875" style="20" hidden="1" customWidth="1"/>
    <col min="39" max="16384" width="8.54296875" style="20" hidden="1"/>
  </cols>
  <sheetData>
    <row r="1" spans="1:30" s="1" customFormat="1" ht="15.5" x14ac:dyDescent="0.35">
      <c r="B1" s="2" t="s">
        <v>42</v>
      </c>
      <c r="C1" s="2"/>
      <c r="D1" s="2"/>
      <c r="E1" s="2"/>
      <c r="F1" s="2"/>
      <c r="G1" s="2"/>
      <c r="H1" s="2"/>
      <c r="I1" s="2"/>
      <c r="J1" s="2"/>
      <c r="K1" s="2"/>
      <c r="L1" s="95" t="s">
        <v>58</v>
      </c>
      <c r="M1" s="96" t="s">
        <v>59</v>
      </c>
      <c r="N1" s="97" t="s">
        <v>61</v>
      </c>
      <c r="O1" s="2"/>
      <c r="P1" s="2"/>
      <c r="Q1" s="2"/>
      <c r="R1" s="2"/>
      <c r="S1" s="2"/>
      <c r="T1" s="2"/>
      <c r="U1" s="2"/>
      <c r="V1" s="2"/>
      <c r="W1" s="2"/>
    </row>
    <row r="2" spans="1:30" s="7" customFormat="1" ht="13.5" thickBot="1" x14ac:dyDescent="0.35">
      <c r="B2" s="8" t="s">
        <v>85</v>
      </c>
      <c r="C2" s="8"/>
      <c r="D2" s="8"/>
      <c r="E2" s="8"/>
      <c r="F2" s="9"/>
      <c r="G2" s="9"/>
      <c r="H2" s="9"/>
      <c r="I2" s="9"/>
    </row>
    <row r="3" spans="1:30" s="38" customFormat="1" ht="14.75" customHeight="1" x14ac:dyDescent="0.25">
      <c r="D3" s="39"/>
      <c r="E3" s="39"/>
      <c r="F3" s="39"/>
      <c r="G3" s="39"/>
      <c r="H3" s="39"/>
      <c r="I3" s="39"/>
      <c r="J3" s="64" t="s">
        <v>50</v>
      </c>
      <c r="K3" s="64"/>
      <c r="L3" s="64"/>
      <c r="M3" s="39"/>
      <c r="N3" s="202"/>
      <c r="O3" s="202"/>
      <c r="P3" s="202"/>
      <c r="Q3" s="202"/>
      <c r="R3" s="202"/>
      <c r="S3" s="202"/>
      <c r="T3" s="41"/>
      <c r="U3" s="41"/>
      <c r="V3" s="41"/>
      <c r="W3" s="41"/>
      <c r="X3" s="41"/>
      <c r="Y3" s="41"/>
      <c r="Z3" s="41"/>
    </row>
    <row r="4" spans="1:30" s="19" customFormat="1" x14ac:dyDescent="0.2">
      <c r="A4" s="42"/>
      <c r="B4" s="42"/>
      <c r="C4" s="42"/>
      <c r="D4" s="43" t="s">
        <v>45</v>
      </c>
      <c r="E4" s="43" t="s">
        <v>72</v>
      </c>
      <c r="F4" s="44" t="s">
        <v>78</v>
      </c>
      <c r="G4" s="45"/>
      <c r="H4" s="45"/>
      <c r="I4" s="45"/>
      <c r="J4" s="46">
        <f>DATE(PPFirstYear,MONTH('Input|General'!$G$9),1)</f>
        <v>43983</v>
      </c>
      <c r="K4" s="46">
        <f>DATE(PPFirstYear+1,MONTH('Input|General'!$G$9),1)</f>
        <v>44348</v>
      </c>
      <c r="L4" s="46">
        <f>DATE(PPFirstYear+2,MONTH('Input|General'!$G$9),1)</f>
        <v>44713</v>
      </c>
      <c r="M4" s="46">
        <f>DATE(PPFirstYear+3,MONTH('Input|General'!$G$9),1)</f>
        <v>45078</v>
      </c>
      <c r="N4" s="46">
        <f>DATE(PPFirstYear+4,MONTH('Input|General'!$G$9),1)</f>
        <v>45444</v>
      </c>
      <c r="O4" s="46">
        <f>DATE(PPFirstYear+5,MONTH('Input|General'!$G$9),1)</f>
        <v>45809</v>
      </c>
      <c r="P4" s="46">
        <f>DATE(PPFirstYear+6,MONTH('Input|General'!$G$9),1)</f>
        <v>46174</v>
      </c>
      <c r="Q4" s="46">
        <f>DATE(PPFirstYear+7,MONTH('Input|General'!$G$9),1)</f>
        <v>46539</v>
      </c>
      <c r="R4" s="46">
        <f>DATE(PPFirstYear+8,MONTH('Input|General'!$G$9),1)</f>
        <v>46905</v>
      </c>
      <c r="S4" s="46">
        <f>DATE(PPFirstYear+9,MONTH('Input|General'!$G$9),1)</f>
        <v>47270</v>
      </c>
      <c r="T4" s="47"/>
      <c r="U4" s="47"/>
      <c r="V4" s="48"/>
      <c r="W4" s="48"/>
    </row>
    <row r="5" spans="1:30" s="10" customFormat="1" ht="3" customHeight="1" x14ac:dyDescent="0.2">
      <c r="D5" s="11"/>
      <c r="E5" s="11"/>
      <c r="F5" s="11"/>
      <c r="G5" s="11"/>
      <c r="H5" s="11"/>
      <c r="I5" s="11"/>
    </row>
    <row r="6" spans="1:30" s="10" customFormat="1" x14ac:dyDescent="0.2">
      <c r="D6" s="11"/>
      <c r="E6" s="11"/>
      <c r="F6" s="11"/>
      <c r="G6" s="11"/>
      <c r="H6" s="11"/>
      <c r="I6" s="11"/>
    </row>
    <row r="7" spans="1:30" s="10" customFormat="1" ht="3" customHeight="1" x14ac:dyDescent="0.2">
      <c r="D7" s="11"/>
      <c r="E7" s="11"/>
      <c r="F7" s="11"/>
      <c r="G7" s="11"/>
      <c r="H7" s="11"/>
      <c r="I7" s="11"/>
    </row>
    <row r="8" spans="1:30" s="19" customFormat="1" ht="13" x14ac:dyDescent="0.3">
      <c r="A8" s="12"/>
      <c r="B8" s="13" t="s">
        <v>86</v>
      </c>
      <c r="C8" s="12"/>
      <c r="D8" s="12"/>
      <c r="E8" s="65" t="s">
        <v>87</v>
      </c>
      <c r="F8" s="81">
        <f>DATE(PPLastYear,MONTH('Input|General'!G9),1)</f>
        <v>45444</v>
      </c>
      <c r="G8" s="14"/>
      <c r="H8" s="14"/>
      <c r="I8" s="14"/>
      <c r="J8" s="15"/>
      <c r="K8" s="16"/>
      <c r="L8" s="15"/>
      <c r="M8" s="16"/>
      <c r="N8" s="15"/>
      <c r="O8" s="15"/>
      <c r="P8" s="15"/>
      <c r="Q8" s="15"/>
      <c r="R8" s="15"/>
      <c r="S8" s="15"/>
      <c r="T8" s="15"/>
      <c r="U8" s="15"/>
      <c r="V8" s="16"/>
      <c r="W8" s="16"/>
      <c r="X8" s="17"/>
      <c r="Y8" s="17"/>
      <c r="Z8" s="17"/>
      <c r="AA8" s="17"/>
      <c r="AB8" s="17"/>
      <c r="AC8" s="18"/>
      <c r="AD8" s="18"/>
    </row>
    <row r="9" spans="1:30" x14ac:dyDescent="0.2"/>
    <row r="10" spans="1:30" ht="10.5" x14ac:dyDescent="0.25">
      <c r="C10" s="29" t="s">
        <v>88</v>
      </c>
      <c r="D10" s="23" t="s">
        <v>45</v>
      </c>
      <c r="E10" s="23" t="s">
        <v>72</v>
      </c>
      <c r="F10" s="23" t="s">
        <v>78</v>
      </c>
      <c r="J10" s="61">
        <f t="shared" ref="J10:S10" si="0">IF(YEAR(J$4)&lt;=PPLastYear,J$4,"")</f>
        <v>43983</v>
      </c>
      <c r="K10" s="61">
        <f t="shared" si="0"/>
        <v>44348</v>
      </c>
      <c r="L10" s="61">
        <f t="shared" si="0"/>
        <v>44713</v>
      </c>
      <c r="M10" s="61">
        <f t="shared" si="0"/>
        <v>45078</v>
      </c>
      <c r="N10" s="61">
        <f t="shared" si="0"/>
        <v>45444</v>
      </c>
      <c r="O10" s="61" t="str">
        <f t="shared" si="0"/>
        <v/>
      </c>
      <c r="P10" s="61" t="str">
        <f t="shared" si="0"/>
        <v/>
      </c>
      <c r="Q10" s="61" t="str">
        <f t="shared" si="0"/>
        <v/>
      </c>
      <c r="R10" s="61" t="str">
        <f t="shared" si="0"/>
        <v/>
      </c>
      <c r="S10" s="61" t="str">
        <f t="shared" si="0"/>
        <v/>
      </c>
    </row>
    <row r="11" spans="1:30" x14ac:dyDescent="0.2">
      <c r="C11" s="54"/>
      <c r="J11" s="63"/>
      <c r="K11" s="63"/>
      <c r="L11" s="63"/>
      <c r="M11" s="63"/>
      <c r="N11" s="63"/>
      <c r="O11" s="63"/>
      <c r="P11" s="63"/>
      <c r="Q11" s="63"/>
      <c r="R11" s="63"/>
      <c r="S11" s="63"/>
    </row>
    <row r="12" spans="1:30" x14ac:dyDescent="0.2">
      <c r="C12" s="54" t="s">
        <v>89</v>
      </c>
      <c r="D12" s="147" t="s">
        <v>90</v>
      </c>
      <c r="E12" s="21" t="str">
        <f>$E$8</f>
        <v>$millions</v>
      </c>
      <c r="F12" s="68">
        <v>44713</v>
      </c>
      <c r="J12" s="69"/>
      <c r="K12" s="69"/>
      <c r="L12" s="69"/>
      <c r="M12" s="80">
        <v>0</v>
      </c>
      <c r="N12" s="63"/>
      <c r="O12" s="78"/>
      <c r="P12" s="78"/>
      <c r="Q12" s="78"/>
      <c r="R12" s="78"/>
      <c r="S12" s="78"/>
    </row>
    <row r="13" spans="1:30" ht="10.5" x14ac:dyDescent="0.25">
      <c r="C13" s="54" t="str">
        <f>C12</f>
        <v>Cyber security</v>
      </c>
      <c r="D13" s="21" t="s">
        <v>70</v>
      </c>
      <c r="E13" s="21" t="str">
        <f>$E$8</f>
        <v>$millions</v>
      </c>
      <c r="F13" s="70">
        <f>$F$8</f>
        <v>45444</v>
      </c>
      <c r="J13" s="71"/>
      <c r="K13" s="71"/>
      <c r="L13" s="71"/>
      <c r="M13" s="78">
        <f>M12*IF($F12="nominal",LOOKUP($F13,'Lookup|Tables'!Nominal_to_Real,'Calc|CPI Indexes'!N$31:N$42),INDEX('Calc|CPI Indexes'!$C$14:$T$27,MATCH($F12,'Calc|CPI Indexes'!$C$14:$C$27,0),MATCH($F13,'Calc|CPI Indexes'!$C$14:$T$14,0)))</f>
        <v>0</v>
      </c>
      <c r="N13" s="63"/>
      <c r="O13" s="78"/>
      <c r="P13" s="79"/>
      <c r="Q13" s="79"/>
      <c r="R13" s="79"/>
      <c r="S13" s="79"/>
    </row>
    <row r="14" spans="1:30" x14ac:dyDescent="0.2">
      <c r="J14" s="63"/>
      <c r="K14" s="63"/>
      <c r="L14" s="63"/>
    </row>
    <row r="15" spans="1:30" s="19" customFormat="1" ht="13" x14ac:dyDescent="0.3">
      <c r="A15" s="12"/>
      <c r="B15" s="13" t="s">
        <v>91</v>
      </c>
      <c r="C15" s="12"/>
      <c r="D15" s="12"/>
      <c r="E15" s="12"/>
      <c r="F15" s="14"/>
      <c r="G15" s="14"/>
      <c r="H15" s="14"/>
      <c r="I15" s="14"/>
      <c r="J15" s="15"/>
      <c r="K15" s="16"/>
      <c r="L15" s="15"/>
      <c r="M15" s="16"/>
      <c r="N15" s="15"/>
      <c r="O15" s="15"/>
      <c r="P15" s="15"/>
      <c r="Q15" s="15"/>
      <c r="R15" s="15"/>
      <c r="S15" s="15"/>
      <c r="T15" s="15"/>
      <c r="U15" s="15"/>
      <c r="V15" s="16"/>
      <c r="W15" s="16"/>
      <c r="X15" s="17"/>
      <c r="Y15" s="17"/>
      <c r="Z15" s="17"/>
      <c r="AA15" s="17"/>
      <c r="AB15" s="17"/>
      <c r="AC15" s="18"/>
      <c r="AD15" s="18"/>
    </row>
    <row r="16" spans="1:30" x14ac:dyDescent="0.2">
      <c r="C16" s="54"/>
      <c r="J16" s="63"/>
      <c r="K16" s="63"/>
      <c r="L16" s="63"/>
    </row>
    <row r="17" spans="1:30" ht="10.5" x14ac:dyDescent="0.25">
      <c r="C17" s="29" t="s">
        <v>92</v>
      </c>
      <c r="D17" s="23" t="s">
        <v>45</v>
      </c>
      <c r="E17" s="23" t="s">
        <v>72</v>
      </c>
      <c r="F17" s="23" t="s">
        <v>78</v>
      </c>
      <c r="J17" s="61" t="str">
        <f>IF(YEAR(J$4)&gt;='Input|General'!$G$13,IF(YEAR(J$4)&lt;='Input|General'!$G$14,J$4,""),"")</f>
        <v/>
      </c>
      <c r="K17" s="61" t="str">
        <f>IF(YEAR(K$4)&gt;='Input|General'!$G$13,IF(YEAR(K$4)&lt;='Input|General'!$G$14,K$4,""),"")</f>
        <v/>
      </c>
      <c r="L17" s="61" t="str">
        <f>IF(YEAR(L$4)&gt;='Input|General'!$G$13,IF(YEAR(L$4)&lt;='Input|General'!$G$14,L$4,""),"")</f>
        <v/>
      </c>
      <c r="M17" s="61" t="str">
        <f>IF(YEAR(M$4)&gt;='Input|General'!$G$13,IF(YEAR(M$4)&lt;='Input|General'!$G$14,M$4,""),"")</f>
        <v/>
      </c>
      <c r="N17" s="61" t="str">
        <f>IF(YEAR(N$4)&gt;='Input|General'!$G$13,IF(YEAR(N$4)&lt;='Input|General'!$G$14,N$4,""),"")</f>
        <v/>
      </c>
      <c r="O17" s="154">
        <f>IF(YEAR(O$4)&gt;=FPFirstYear,IF(YEAR(O$4)&lt;=FPLastYear,O$4,""),"")</f>
        <v>45809</v>
      </c>
      <c r="P17" s="154">
        <f>IF(YEAR(P$4)&gt;=FPFirstYear,IF(YEAR(P$4)&lt;=FPLastYear,P$4,""),"")</f>
        <v>46174</v>
      </c>
      <c r="Q17" s="154">
        <f>IF(YEAR(Q$4)&gt;=FPFirstYear,IF(YEAR(Q$4)&lt;=FPLastYear,Q$4,""),"")</f>
        <v>46539</v>
      </c>
      <c r="R17" s="154">
        <f>IF(YEAR(R$4)&gt;=FPFirstYear,IF(YEAR(R$4)&lt;=FPLastYear,R$4,""),"")</f>
        <v>46905</v>
      </c>
      <c r="S17" s="154">
        <f>IF(YEAR(S$4)&gt;=FPFirstYear,IF(YEAR(S$4)&lt;=FPLastYear,S$4,""),"")</f>
        <v>47270</v>
      </c>
    </row>
    <row r="18" spans="1:30" ht="10.5" x14ac:dyDescent="0.25">
      <c r="C18" s="29"/>
      <c r="J18" s="24"/>
      <c r="K18" s="24"/>
      <c r="L18" s="24"/>
      <c r="M18" s="24"/>
      <c r="N18" s="24"/>
      <c r="O18" s="24"/>
      <c r="P18" s="24"/>
      <c r="Q18" s="24"/>
      <c r="R18" s="24"/>
      <c r="S18" s="24"/>
    </row>
    <row r="19" spans="1:30" x14ac:dyDescent="0.2">
      <c r="C19" s="54" t="s">
        <v>89</v>
      </c>
      <c r="D19" s="147" t="s">
        <v>90</v>
      </c>
      <c r="E19" s="21" t="str">
        <f>$E$8</f>
        <v>$millions</v>
      </c>
      <c r="F19" s="68">
        <v>44713</v>
      </c>
      <c r="J19" s="73"/>
      <c r="K19" s="73"/>
      <c r="L19" s="73"/>
      <c r="M19" s="73"/>
      <c r="N19" s="73"/>
      <c r="O19" s="78">
        <f>INDEX($M$41:$S$42,MATCH($F19,$F$41:$F$42,0),MATCH(O$17,$M$38:$S$38,0))</f>
        <v>1.8259683692471991</v>
      </c>
      <c r="P19" s="78">
        <f t="shared" ref="P19:S19" si="1">INDEX($M$41:$S$42,MATCH($F19,$F$41:$F$42,0),MATCH(P$17,$M$38:$S$38,0))</f>
        <v>2.7742880774898744</v>
      </c>
      <c r="Q19" s="78">
        <f t="shared" si="1"/>
        <v>3.6081382794575561</v>
      </c>
      <c r="R19" s="78">
        <f t="shared" si="1"/>
        <v>3.942231919833397</v>
      </c>
      <c r="S19" s="78">
        <f t="shared" si="1"/>
        <v>4.2940233773034366</v>
      </c>
    </row>
    <row r="20" spans="1:30" x14ac:dyDescent="0.2">
      <c r="C20" s="54" t="str">
        <f>C19</f>
        <v>Cyber security</v>
      </c>
      <c r="D20" s="21" t="s">
        <v>70</v>
      </c>
      <c r="E20" s="21" t="str">
        <f>$E$8</f>
        <v>$millions</v>
      </c>
      <c r="F20" s="70">
        <f t="shared" ref="F20" si="2">$F$8</f>
        <v>45444</v>
      </c>
      <c r="J20" s="73"/>
      <c r="K20" s="73"/>
      <c r="L20" s="73"/>
      <c r="M20" s="73"/>
      <c r="N20" s="73"/>
      <c r="O20" s="78">
        <f>O19*IF($F19="nominal",LOOKUP($F20,'Lookup|Tables'!Nominal_to_Real,'Calc|CPI Indexes'!P$31:P$42),INDEX('Calc|CPI Indexes'!$C$14:$T$27,MATCH($F19,'Calc|CPI Indexes'!$C$14:$C$27,0),MATCH($F20,'Calc|CPI Indexes'!$C$14:$T$14,0)))</f>
        <v>2.0057154791690022</v>
      </c>
      <c r="P20" s="78">
        <f>P19*IF($F19="nominal",LOOKUP($F20,'Lookup|Tables'!Nominal_to_Real,'Calc|CPI Indexes'!Q$31:Q$42),INDEX('Calc|CPI Indexes'!$C$14:$T$27,MATCH($F19,'Calc|CPI Indexes'!$C$14:$C$27,0),MATCH($F20,'Calc|CPI Indexes'!$C$14:$T$14,0)))</f>
        <v>3.0473871477793062</v>
      </c>
      <c r="Q20" s="78">
        <f>Q19*IF($F19="nominal",LOOKUP($F20,'Lookup|Tables'!Nominal_to_Real,'Calc|CPI Indexes'!R$31:R$42),INDEX('Calc|CPI Indexes'!$C$14:$T$27,MATCH($F19,'Calc|CPI Indexes'!$C$14:$C$27,0),MATCH($F20,'Calc|CPI Indexes'!$C$14:$T$14,0)))</f>
        <v>3.9633210081693928</v>
      </c>
      <c r="R20" s="78">
        <f>R19*IF($F19="nominal",LOOKUP($F20,'Lookup|Tables'!Nominal_to_Real,'Calc|CPI Indexes'!S$31:S$42),INDEX('Calc|CPI Indexes'!$C$14:$T$27,MATCH($F19,'Calc|CPI Indexes'!$C$14:$C$27,0),MATCH($F20,'Calc|CPI Indexes'!$C$14:$T$14,0)))</f>
        <v>4.3303026039513668</v>
      </c>
      <c r="S20" s="78">
        <f>S19*IF($F19="nominal",LOOKUP($F20,'Lookup|Tables'!Nominal_to_Real,'Calc|CPI Indexes'!T$31:T$42),INDEX('Calc|CPI Indexes'!$C$14:$T$27,MATCH($F19,'Calc|CPI Indexes'!$C$14:$C$27,0),MATCH($F20,'Calc|CPI Indexes'!$C$14:$T$14,0)))</f>
        <v>4.716724178153104</v>
      </c>
    </row>
    <row r="21" spans="1:30" x14ac:dyDescent="0.2">
      <c r="C21" s="72"/>
      <c r="F21" s="70"/>
      <c r="J21" s="73"/>
      <c r="K21" s="73"/>
      <c r="L21" s="73"/>
      <c r="M21" s="73"/>
      <c r="N21" s="73"/>
      <c r="O21" s="73"/>
      <c r="P21" s="73"/>
      <c r="Q21" s="73"/>
      <c r="R21" s="73"/>
      <c r="S21" s="73"/>
    </row>
    <row r="22" spans="1:30" s="19" customFormat="1" ht="13" x14ac:dyDescent="0.3">
      <c r="A22" s="12"/>
      <c r="B22" s="13" t="s">
        <v>93</v>
      </c>
      <c r="C22" s="12"/>
      <c r="D22" s="12"/>
      <c r="E22" s="12"/>
      <c r="F22" s="14"/>
      <c r="G22" s="14"/>
      <c r="H22" s="14"/>
      <c r="I22" s="14"/>
      <c r="J22" s="15"/>
      <c r="K22" s="16"/>
      <c r="L22" s="15"/>
      <c r="M22" s="16"/>
      <c r="N22" s="15"/>
      <c r="O22" s="15"/>
      <c r="P22" s="15"/>
      <c r="Q22" s="15"/>
      <c r="R22" s="15"/>
      <c r="S22" s="15"/>
      <c r="T22" s="15"/>
      <c r="U22" s="15"/>
      <c r="V22" s="16"/>
      <c r="W22" s="16"/>
      <c r="X22" s="17"/>
      <c r="Y22" s="17"/>
      <c r="Z22" s="17"/>
      <c r="AA22" s="17"/>
      <c r="AB22" s="17"/>
      <c r="AC22" s="18"/>
      <c r="AD22" s="18"/>
    </row>
    <row r="23" spans="1:30" x14ac:dyDescent="0.2">
      <c r="C23" s="54"/>
      <c r="J23" s="63"/>
      <c r="K23" s="63"/>
      <c r="L23" s="63"/>
    </row>
    <row r="24" spans="1:30" ht="10.5" x14ac:dyDescent="0.25">
      <c r="C24" s="29" t="s">
        <v>94</v>
      </c>
      <c r="D24" s="23" t="s">
        <v>45</v>
      </c>
      <c r="E24" s="23" t="s">
        <v>72</v>
      </c>
      <c r="F24" s="23" t="s">
        <v>78</v>
      </c>
      <c r="J24" s="61" t="str">
        <f>IF(YEAR(J$4)&gt;='Input|General'!$G$13,IF(YEAR(J$4)&lt;='Input|General'!$G$14,J$4,""),"")</f>
        <v/>
      </c>
      <c r="K24" s="61" t="str">
        <f>IF(YEAR(K$4)&gt;='Input|General'!$G$13,IF(YEAR(K$4)&lt;='Input|General'!$G$14,K$4,""),"")</f>
        <v/>
      </c>
      <c r="L24" s="61" t="str">
        <f>IF(YEAR(L$4)&gt;='Input|General'!$G$13,IF(YEAR(L$4)&lt;='Input|General'!$G$14,L$4,""),"")</f>
        <v/>
      </c>
      <c r="M24" s="61" t="str">
        <f>IF(YEAR(M$4)&gt;='Input|General'!$G$13,IF(YEAR(M$4)&lt;='Input|General'!$G$14,M$4,""),"")</f>
        <v/>
      </c>
      <c r="N24" s="61" t="str">
        <f>IF(YEAR(N$4)&gt;='Input|General'!$G$13,IF(YEAR(N$4)&lt;='Input|General'!$G$14,N$4,""),"")</f>
        <v/>
      </c>
      <c r="O24" s="154">
        <f>IF(YEAR(O$4)&gt;=FPFirstYear,IF(YEAR(O$4)&lt;=FPLastYear,O$4,""),"")</f>
        <v>45809</v>
      </c>
      <c r="P24" s="154">
        <f>IF(YEAR(P$4)&gt;=FPFirstYear,IF(YEAR(P$4)&lt;=FPLastYear,P$4,""),"")</f>
        <v>46174</v>
      </c>
      <c r="Q24" s="154">
        <f>IF(YEAR(Q$4)&gt;=FPFirstYear,IF(YEAR(Q$4)&lt;=FPLastYear,Q$4,""),"")</f>
        <v>46539</v>
      </c>
      <c r="R24" s="154">
        <f>IF(YEAR(R$4)&gt;=FPFirstYear,IF(YEAR(R$4)&lt;=FPLastYear,R$4,""),"")</f>
        <v>46905</v>
      </c>
      <c r="S24" s="154">
        <f>IF(YEAR(S$4)&gt;=FPFirstYear,IF(YEAR(S$4)&lt;=FPLastYear,S$4,""),"")</f>
        <v>47270</v>
      </c>
    </row>
    <row r="25" spans="1:30" ht="10.5" x14ac:dyDescent="0.25">
      <c r="C25" s="29"/>
      <c r="D25" s="23"/>
      <c r="E25" s="23"/>
      <c r="F25" s="23"/>
      <c r="J25" s="61"/>
      <c r="K25" s="61"/>
      <c r="L25" s="61"/>
      <c r="M25" s="61"/>
      <c r="N25" s="61"/>
      <c r="O25" s="61"/>
      <c r="P25" s="61"/>
      <c r="Q25" s="61"/>
      <c r="R25" s="61"/>
      <c r="S25" s="61"/>
    </row>
    <row r="26" spans="1:30" x14ac:dyDescent="0.2">
      <c r="C26" s="54" t="s">
        <v>95</v>
      </c>
      <c r="D26" s="21" t="s">
        <v>70</v>
      </c>
      <c r="E26" s="21" t="str">
        <f>$E$8</f>
        <v>$millions</v>
      </c>
      <c r="F26" s="70">
        <f>F20</f>
        <v>45444</v>
      </c>
      <c r="J26" s="73"/>
      <c r="K26" s="73"/>
      <c r="L26" s="73"/>
      <c r="M26" s="73"/>
      <c r="N26" s="73"/>
      <c r="O26" s="78">
        <f>O20</f>
        <v>2.0057154791690022</v>
      </c>
      <c r="P26" s="78">
        <f>P20</f>
        <v>3.0473871477793062</v>
      </c>
      <c r="Q26" s="78">
        <f>Q20</f>
        <v>3.9633210081693928</v>
      </c>
      <c r="R26" s="78">
        <f>R20</f>
        <v>4.3303026039513668</v>
      </c>
      <c r="S26" s="78">
        <f>S20</f>
        <v>4.716724178153104</v>
      </c>
    </row>
    <row r="27" spans="1:30" ht="10.5" x14ac:dyDescent="0.25">
      <c r="C27" s="54" t="s">
        <v>96</v>
      </c>
      <c r="D27" s="21" t="s">
        <v>70</v>
      </c>
      <c r="E27" s="21" t="str">
        <f>$E$8</f>
        <v>$millions</v>
      </c>
      <c r="F27" s="70">
        <f>F13</f>
        <v>45444</v>
      </c>
      <c r="J27" s="24"/>
      <c r="K27" s="24"/>
      <c r="L27" s="24"/>
      <c r="M27" s="24"/>
      <c r="N27" s="24"/>
      <c r="O27" s="78">
        <f>$M$13</f>
        <v>0</v>
      </c>
      <c r="P27" s="78">
        <f t="shared" ref="P27:S27" si="3">$M$13</f>
        <v>0</v>
      </c>
      <c r="Q27" s="78">
        <f t="shared" si="3"/>
        <v>0</v>
      </c>
      <c r="R27" s="78">
        <f t="shared" si="3"/>
        <v>0</v>
      </c>
      <c r="S27" s="78">
        <f t="shared" si="3"/>
        <v>0</v>
      </c>
    </row>
    <row r="28" spans="1:30" ht="3" customHeight="1" x14ac:dyDescent="0.2">
      <c r="F28" s="105"/>
      <c r="O28" s="100"/>
      <c r="P28" s="100"/>
      <c r="Q28" s="100"/>
      <c r="R28" s="100"/>
      <c r="S28" s="100"/>
    </row>
    <row r="29" spans="1:30" ht="10.5" x14ac:dyDescent="0.25">
      <c r="C29" s="74" t="s">
        <v>97</v>
      </c>
      <c r="D29" s="75" t="s">
        <v>70</v>
      </c>
      <c r="E29" s="75" t="str">
        <f>$E$8</f>
        <v>$millions</v>
      </c>
      <c r="F29" s="76">
        <f>F27</f>
        <v>45444</v>
      </c>
      <c r="G29" s="23"/>
      <c r="H29" s="23"/>
      <c r="I29" s="23"/>
      <c r="J29" s="77"/>
      <c r="K29" s="77"/>
      <c r="L29" s="77"/>
      <c r="M29" s="77"/>
      <c r="N29" s="77"/>
      <c r="O29" s="79">
        <f>O26-O27</f>
        <v>2.0057154791690022</v>
      </c>
      <c r="P29" s="79">
        <f>P26-P27</f>
        <v>3.0473871477793062</v>
      </c>
      <c r="Q29" s="79">
        <f>Q26-Q27</f>
        <v>3.9633210081693928</v>
      </c>
      <c r="R29" s="79">
        <f>R26-R27</f>
        <v>4.3303026039513668</v>
      </c>
      <c r="S29" s="79">
        <f>S26-S27</f>
        <v>4.716724178153104</v>
      </c>
    </row>
    <row r="30" spans="1:30" ht="10.5" x14ac:dyDescent="0.25">
      <c r="C30" s="23"/>
      <c r="D30" s="23"/>
      <c r="E30" s="23"/>
      <c r="F30" s="76"/>
      <c r="G30" s="23"/>
      <c r="H30" s="23"/>
      <c r="I30" s="23"/>
      <c r="J30" s="77"/>
      <c r="K30" s="77"/>
      <c r="L30" s="77"/>
      <c r="M30" s="77"/>
      <c r="N30" s="77"/>
      <c r="O30" s="77"/>
      <c r="P30" s="77"/>
      <c r="Q30" s="77"/>
      <c r="R30" s="77"/>
      <c r="S30" s="77"/>
      <c r="T30" s="77"/>
      <c r="U30" s="77"/>
    </row>
    <row r="31" spans="1:30" s="19" customFormat="1" ht="13" x14ac:dyDescent="0.3">
      <c r="A31" s="12"/>
      <c r="B31" s="13" t="s">
        <v>98</v>
      </c>
      <c r="C31" s="12"/>
      <c r="D31" s="12"/>
      <c r="E31" s="12"/>
      <c r="F31" s="14"/>
      <c r="G31" s="14"/>
      <c r="H31" s="14"/>
      <c r="I31" s="14"/>
      <c r="J31" s="15"/>
      <c r="K31" s="16"/>
      <c r="L31" s="15"/>
      <c r="M31" s="16"/>
      <c r="N31" s="15"/>
      <c r="O31" s="15"/>
      <c r="P31" s="15"/>
      <c r="Q31" s="15"/>
      <c r="R31" s="15"/>
      <c r="S31" s="15"/>
      <c r="T31" s="15"/>
      <c r="U31" s="15"/>
      <c r="V31" s="16"/>
      <c r="W31" s="16"/>
      <c r="X31" s="17"/>
      <c r="Y31" s="17"/>
      <c r="Z31" s="17"/>
      <c r="AA31" s="17"/>
      <c r="AB31" s="17"/>
      <c r="AC31" s="18"/>
      <c r="AD31" s="18"/>
    </row>
    <row r="32" spans="1:30" x14ac:dyDescent="0.2">
      <c r="C32" s="54"/>
      <c r="D32" s="63"/>
      <c r="E32" s="63"/>
      <c r="F32" s="108"/>
      <c r="G32" s="63"/>
      <c r="H32" s="63"/>
      <c r="I32" s="63"/>
      <c r="J32" s="73"/>
      <c r="K32" s="73"/>
      <c r="L32" s="73"/>
      <c r="M32" s="73"/>
      <c r="N32" s="73"/>
      <c r="O32" s="78"/>
      <c r="P32" s="78"/>
      <c r="Q32" s="78"/>
      <c r="R32" s="78"/>
      <c r="S32" s="78"/>
    </row>
    <row r="33" spans="1:30" ht="10.5" x14ac:dyDescent="0.25">
      <c r="C33" s="29" t="s">
        <v>99</v>
      </c>
      <c r="D33" s="63"/>
      <c r="E33" s="63"/>
      <c r="F33" s="20"/>
      <c r="H33" s="63"/>
      <c r="I33" s="63"/>
      <c r="J33" s="73"/>
      <c r="K33" s="73"/>
      <c r="L33" s="73"/>
      <c r="M33" s="73"/>
      <c r="N33" s="73"/>
      <c r="O33" s="154">
        <f>IF(YEAR(O$4)&gt;=FPFirstYear,IF(YEAR(O$4)&lt;=FPLastYear,O$4,""),"")</f>
        <v>45809</v>
      </c>
      <c r="P33" s="154">
        <f>IF(YEAR(P$4)&gt;=FPFirstYear,IF(YEAR(P$4)&lt;=FPLastYear,P$4,""),"")</f>
        <v>46174</v>
      </c>
      <c r="Q33" s="154">
        <f>IF(YEAR(Q$4)&gt;=FPFirstYear,IF(YEAR(Q$4)&lt;=FPLastYear,Q$4,""),"")</f>
        <v>46539</v>
      </c>
      <c r="R33" s="154">
        <f>IF(YEAR(R$4)&gt;=FPFirstYear,IF(YEAR(R$4)&lt;=FPLastYear,R$4,""),"")</f>
        <v>46905</v>
      </c>
      <c r="S33" s="154">
        <f>IF(YEAR(S$4)&gt;=FPFirstYear,IF(YEAR(S$4)&lt;=FPLastYear,S$4,""),"")</f>
        <v>47270</v>
      </c>
    </row>
    <row r="34" spans="1:30" x14ac:dyDescent="0.2">
      <c r="C34" s="54" t="s">
        <v>100</v>
      </c>
      <c r="D34" s="147" t="s">
        <v>90</v>
      </c>
      <c r="E34" s="21" t="s">
        <v>101</v>
      </c>
      <c r="F34" s="68">
        <v>44713</v>
      </c>
      <c r="G34" s="20"/>
      <c r="H34" s="63"/>
      <c r="I34" s="63"/>
      <c r="J34" s="73"/>
      <c r="K34" s="73"/>
      <c r="L34" s="73"/>
      <c r="M34" s="73"/>
      <c r="N34" s="73"/>
      <c r="O34" s="111">
        <v>2020059</v>
      </c>
      <c r="P34" s="111">
        <v>3069180</v>
      </c>
      <c r="Q34" s="111">
        <v>3991664</v>
      </c>
      <c r="R34" s="111">
        <v>4361270</v>
      </c>
      <c r="S34" s="111">
        <v>4750455</v>
      </c>
    </row>
    <row r="35" spans="1:30" x14ac:dyDescent="0.2">
      <c r="C35" s="54"/>
      <c r="D35" s="63"/>
      <c r="E35" s="63"/>
      <c r="F35" s="108"/>
      <c r="G35" s="63"/>
      <c r="H35" s="63"/>
      <c r="I35" s="63"/>
      <c r="J35" s="73"/>
      <c r="K35" s="73"/>
      <c r="L35" s="73"/>
      <c r="M35" s="73"/>
      <c r="N35" s="73"/>
      <c r="O35" s="78"/>
      <c r="P35" s="78"/>
      <c r="Q35" s="78"/>
      <c r="R35" s="78"/>
      <c r="S35" s="78"/>
    </row>
    <row r="36" spans="1:30" ht="10.5" x14ac:dyDescent="0.25">
      <c r="C36" s="29" t="s">
        <v>102</v>
      </c>
      <c r="D36" s="147" t="s">
        <v>90</v>
      </c>
      <c r="E36" s="21" t="s">
        <v>82</v>
      </c>
      <c r="F36" s="108"/>
      <c r="G36" s="63"/>
      <c r="H36" s="63"/>
      <c r="I36" s="63"/>
      <c r="J36" s="63"/>
      <c r="K36" s="73"/>
      <c r="L36" s="73"/>
      <c r="M36" s="73"/>
      <c r="N36" s="73"/>
      <c r="O36" s="129">
        <v>0.90391833567593771</v>
      </c>
      <c r="P36" s="129">
        <v>0.90391833567593771</v>
      </c>
      <c r="Q36" s="129">
        <v>0.90391833567593771</v>
      </c>
      <c r="R36" s="129">
        <v>0.90391833567593771</v>
      </c>
      <c r="S36" s="129">
        <v>0.90391833567593771</v>
      </c>
    </row>
    <row r="37" spans="1:30" x14ac:dyDescent="0.2">
      <c r="C37" s="54"/>
      <c r="D37" s="63"/>
      <c r="E37" s="63"/>
      <c r="F37" s="108"/>
      <c r="G37" s="63"/>
      <c r="H37" s="63"/>
      <c r="I37" s="63"/>
      <c r="J37" s="73"/>
      <c r="K37" s="73"/>
      <c r="L37" s="73"/>
      <c r="M37" s="73"/>
      <c r="N37" s="73"/>
      <c r="O37" s="78"/>
      <c r="P37" s="78"/>
      <c r="Q37" s="78"/>
      <c r="R37" s="78"/>
      <c r="S37" s="78"/>
    </row>
    <row r="38" spans="1:30" ht="10.5" x14ac:dyDescent="0.25">
      <c r="C38" s="29" t="s">
        <v>103</v>
      </c>
      <c r="D38" s="63"/>
      <c r="E38" s="63"/>
      <c r="F38" s="108"/>
      <c r="G38" s="63"/>
      <c r="H38" s="63"/>
      <c r="I38" s="63"/>
      <c r="J38" s="73"/>
      <c r="K38" s="73"/>
      <c r="L38" s="73"/>
      <c r="M38" s="73"/>
      <c r="N38" s="73"/>
      <c r="O38" s="154">
        <f>IF(YEAR(O$4)&gt;=FPFirstYear,IF(YEAR(O$4)&lt;=FPLastYear,O$4,""),"")</f>
        <v>45809</v>
      </c>
      <c r="P38" s="154">
        <f>IF(YEAR(P$4)&gt;=FPFirstYear,IF(YEAR(P$4)&lt;=FPLastYear,P$4,""),"")</f>
        <v>46174</v>
      </c>
      <c r="Q38" s="154">
        <f>IF(YEAR(Q$4)&gt;=FPFirstYear,IF(YEAR(Q$4)&lt;=FPLastYear,Q$4,""),"")</f>
        <v>46539</v>
      </c>
      <c r="R38" s="154">
        <f>IF(YEAR(R$4)&gt;=FPFirstYear,IF(YEAR(R$4)&lt;=FPLastYear,R$4,""),"")</f>
        <v>46905</v>
      </c>
      <c r="S38" s="154">
        <f>IF(YEAR(S$4)&gt;=FPFirstYear,IF(YEAR(S$4)&lt;=FPLastYear,S$4,""),"")</f>
        <v>47270</v>
      </c>
    </row>
    <row r="39" spans="1:30" x14ac:dyDescent="0.2">
      <c r="C39" s="54" t="s">
        <v>104</v>
      </c>
      <c r="D39" s="21" t="s">
        <v>70</v>
      </c>
      <c r="E39" s="21" t="s">
        <v>101</v>
      </c>
      <c r="F39" s="108">
        <f>F34</f>
        <v>44713</v>
      </c>
      <c r="G39" s="63"/>
      <c r="H39" s="63"/>
      <c r="I39" s="63"/>
      <c r="J39" s="73"/>
      <c r="K39" s="73"/>
      <c r="L39" s="73"/>
      <c r="M39" s="73"/>
      <c r="N39" s="73"/>
      <c r="O39" s="109">
        <f>O34*O36</f>
        <v>1825968.369247199</v>
      </c>
      <c r="P39" s="109">
        <f>P34*P36</f>
        <v>2774288.0774898743</v>
      </c>
      <c r="Q39" s="109">
        <f>Q34*Q36</f>
        <v>3608138.2794575561</v>
      </c>
      <c r="R39" s="109">
        <f>R34*R36</f>
        <v>3942231.919833397</v>
      </c>
      <c r="S39" s="109">
        <f>S34*S36</f>
        <v>4294023.3773034364</v>
      </c>
    </row>
    <row r="40" spans="1:30" ht="10.5" x14ac:dyDescent="0.25">
      <c r="D40" s="63"/>
      <c r="E40" s="63"/>
      <c r="F40" s="108"/>
      <c r="G40" s="63"/>
      <c r="H40" s="63"/>
      <c r="I40" s="63"/>
      <c r="J40" s="73"/>
      <c r="K40" s="73"/>
      <c r="L40" s="73"/>
      <c r="M40" s="73"/>
      <c r="N40" s="73"/>
      <c r="O40" s="114"/>
      <c r="P40" s="117"/>
      <c r="Q40" s="117"/>
      <c r="R40" s="117"/>
      <c r="S40" s="117"/>
    </row>
    <row r="41" spans="1:30" x14ac:dyDescent="0.2">
      <c r="C41" s="54" t="s">
        <v>104</v>
      </c>
      <c r="D41" s="21" t="s">
        <v>70</v>
      </c>
      <c r="E41" s="21" t="str">
        <f t="shared" ref="E41:E42" si="4">$E$8</f>
        <v>$millions</v>
      </c>
      <c r="F41" s="108">
        <f>F34</f>
        <v>44713</v>
      </c>
      <c r="G41" s="63"/>
      <c r="H41" s="63"/>
      <c r="I41" s="63"/>
      <c r="J41" s="73"/>
      <c r="K41" s="73"/>
      <c r="L41" s="73"/>
      <c r="M41" s="73"/>
      <c r="N41" s="73"/>
      <c r="O41" s="78">
        <f>O39/10^6</f>
        <v>1.8259683692471991</v>
      </c>
      <c r="P41" s="78">
        <f t="shared" ref="P41:S41" si="5">P39/10^6</f>
        <v>2.7742880774898744</v>
      </c>
      <c r="Q41" s="78">
        <f t="shared" si="5"/>
        <v>3.6081382794575561</v>
      </c>
      <c r="R41" s="78">
        <f t="shared" si="5"/>
        <v>3.942231919833397</v>
      </c>
      <c r="S41" s="78">
        <f t="shared" si="5"/>
        <v>4.2940233773034366</v>
      </c>
    </row>
    <row r="42" spans="1:30" x14ac:dyDescent="0.2">
      <c r="C42" s="54" t="s">
        <v>104</v>
      </c>
      <c r="D42" s="21" t="s">
        <v>70</v>
      </c>
      <c r="E42" s="21" t="str">
        <f t="shared" si="4"/>
        <v>$millions</v>
      </c>
      <c r="F42" s="108">
        <f t="shared" ref="F42" si="6">$F$8</f>
        <v>45444</v>
      </c>
      <c r="G42" s="63"/>
      <c r="H42" s="63"/>
      <c r="I42" s="63"/>
      <c r="J42" s="73"/>
      <c r="K42" s="73"/>
      <c r="L42" s="73"/>
      <c r="M42" s="73"/>
      <c r="N42" s="73"/>
      <c r="O42" s="78">
        <f>O41*IF($F41="nominal",LOOKUP($F42,'Lookup|Tables'!Nominal_to_Real,'Calc|CPI Indexes'!P$31:P$42),INDEX('Calc|CPI Indexes'!$C$14:$T$27,MATCH($F41,'Calc|CPI Indexes'!$C$14:$C$27,0),MATCH($F42,'Calc|CPI Indexes'!$C$14:$T$14,0)))</f>
        <v>2.0057154791690022</v>
      </c>
      <c r="P42" s="78">
        <f>P41*IF($F41="nominal",LOOKUP($F42,'Lookup|Tables'!Nominal_to_Real,'Calc|CPI Indexes'!Q$31:Q$42),INDEX('Calc|CPI Indexes'!$C$14:$T$27,MATCH($F41,'Calc|CPI Indexes'!$C$14:$C$27,0),MATCH($F42,'Calc|CPI Indexes'!$C$14:$T$14,0)))</f>
        <v>3.0473871477793062</v>
      </c>
      <c r="Q42" s="78">
        <f>Q41*IF($F41="nominal",LOOKUP($F42,'Lookup|Tables'!Nominal_to_Real,'Calc|CPI Indexes'!R$31:R$42),INDEX('Calc|CPI Indexes'!$C$14:$T$27,MATCH($F41,'Calc|CPI Indexes'!$C$14:$C$27,0),MATCH($F42,'Calc|CPI Indexes'!$C$14:$T$14,0)))</f>
        <v>3.9633210081693928</v>
      </c>
      <c r="R42" s="78">
        <f>R41*IF($F41="nominal",LOOKUP($F42,'Lookup|Tables'!Nominal_to_Real,'Calc|CPI Indexes'!S$31:S$42),INDEX('Calc|CPI Indexes'!$C$14:$T$27,MATCH($F41,'Calc|CPI Indexes'!$C$14:$C$27,0),MATCH($F42,'Calc|CPI Indexes'!$C$14:$T$14,0)))</f>
        <v>4.3303026039513668</v>
      </c>
      <c r="S42" s="78">
        <f>S41*IF($F41="nominal",LOOKUP($F42,'Lookup|Tables'!Nominal_to_Real,'Calc|CPI Indexes'!T$31:T$42),INDEX('Calc|CPI Indexes'!$C$14:$T$27,MATCH($F41,'Calc|CPI Indexes'!$C$14:$C$27,0),MATCH($F42,'Calc|CPI Indexes'!$C$14:$T$14,0)))</f>
        <v>4.716724178153104</v>
      </c>
    </row>
    <row r="43" spans="1:30" x14ac:dyDescent="0.2">
      <c r="C43" s="54"/>
      <c r="D43" s="63"/>
      <c r="E43" s="63"/>
      <c r="F43" s="108"/>
      <c r="G43" s="63"/>
      <c r="H43" s="63"/>
      <c r="I43" s="63"/>
      <c r="J43" s="73"/>
      <c r="K43" s="73"/>
      <c r="L43" s="73"/>
      <c r="M43" s="73"/>
      <c r="N43" s="73"/>
      <c r="O43" s="78"/>
      <c r="P43" s="78"/>
      <c r="Q43" s="78"/>
      <c r="R43" s="78"/>
      <c r="S43" s="78"/>
    </row>
    <row r="44" spans="1:30" x14ac:dyDescent="0.2">
      <c r="C44" s="54"/>
      <c r="D44" s="63"/>
      <c r="E44" s="63"/>
      <c r="F44" s="63"/>
      <c r="G44" s="63"/>
      <c r="H44" s="63"/>
      <c r="I44" s="63"/>
      <c r="J44" s="63"/>
      <c r="K44" s="63"/>
      <c r="L44" s="63"/>
      <c r="M44" s="63"/>
      <c r="N44" s="107"/>
      <c r="O44" s="107"/>
      <c r="P44" s="107"/>
      <c r="Q44" s="107"/>
      <c r="R44" s="107"/>
      <c r="S44" s="107"/>
    </row>
    <row r="45" spans="1:30" s="19" customFormat="1" ht="13" x14ac:dyDescent="0.3">
      <c r="A45" s="12"/>
      <c r="B45" s="13" t="s">
        <v>41</v>
      </c>
      <c r="C45" s="12"/>
      <c r="D45" s="12"/>
      <c r="E45" s="12"/>
      <c r="F45" s="14"/>
      <c r="G45" s="14"/>
      <c r="H45" s="14"/>
      <c r="I45" s="14"/>
      <c r="J45" s="15"/>
      <c r="K45" s="16"/>
      <c r="L45" s="15"/>
      <c r="M45" s="16"/>
      <c r="N45" s="15"/>
      <c r="O45" s="15"/>
      <c r="P45" s="15"/>
      <c r="Q45" s="15"/>
      <c r="R45" s="15"/>
      <c r="S45" s="15"/>
      <c r="T45" s="15"/>
      <c r="U45" s="15"/>
      <c r="V45" s="16"/>
      <c r="W45" s="16"/>
      <c r="X45" s="17"/>
      <c r="Y45" s="17"/>
      <c r="Z45" s="17"/>
      <c r="AA45" s="17"/>
      <c r="AB45" s="17"/>
      <c r="AC45" s="18"/>
      <c r="AD45" s="18"/>
    </row>
  </sheetData>
  <mergeCells count="1">
    <mergeCell ref="N3:S3"/>
  </mergeCells>
  <conditionalFormatting sqref="O17:S17">
    <cfRule type="expression" dxfId="38" priority="3">
      <formula>O$10=O$4</formula>
    </cfRule>
  </conditionalFormatting>
  <conditionalFormatting sqref="O24:S24">
    <cfRule type="expression" dxfId="37" priority="2">
      <formula>O$10=O$4</formula>
    </cfRule>
  </conditionalFormatting>
  <conditionalFormatting sqref="O33:S33 O38:S38">
    <cfRule type="expression" dxfId="36" priority="1">
      <formula>O$10=O$4</formula>
    </cfRule>
  </conditionalFormatting>
  <dataValidations count="2">
    <dataValidation type="list" allowBlank="1" showInputMessage="1" showErrorMessage="1" sqref="F44" xr:uid="{E0B8686B-5529-4399-8738-1CEAD39CDC34}">
      <formula1>"Real 2010,Real 2011,Real 2012,Real 2013,Real 2014,Real 2015,Nominal"</formula1>
    </dataValidation>
    <dataValidation type="list" allowBlank="1" showInputMessage="1" showErrorMessage="1" sqref="F19 F12" xr:uid="{4CDFC41C-C4C3-4FDE-A239-E054DBA24753}">
      <formula1>$F$41:$F$42</formula1>
    </dataValidation>
  </dataValidations>
  <pageMargins left="0.7" right="0.7" top="0.75" bottom="0.75" header="0.3" footer="0.3"/>
  <pageSetup paperSize="9" orientation="portrait" verticalDpi="4" r:id="rId1"/>
  <headerFooter>
    <oddFooter>&amp;L&amp;1#&amp;"Calibri"&amp;8&amp;K000000For Official use only</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E54B2E29-54EB-4AA1-8D0C-68926A0D337F}">
          <x14:formula1>
            <xm:f>'Lookup|Tables'!$G$81:$G$84</xm:f>
          </x14:formula1>
          <xm:sqref>F34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B3876-AC2E-4BAC-B1D8-991B819C2AB9}">
  <sheetPr codeName="Sheet6">
    <tabColor rgb="FFCCFFCC"/>
  </sheetPr>
  <dimension ref="A1:AD134"/>
  <sheetViews>
    <sheetView showGridLines="0" zoomScaleNormal="100" workbookViewId="0"/>
  </sheetViews>
  <sheetFormatPr defaultColWidth="0" defaultRowHeight="10" zeroHeight="1" outlineLevelRow="1" x14ac:dyDescent="0.2"/>
  <cols>
    <col min="1" max="2" width="1.1796875" style="20" customWidth="1"/>
    <col min="3" max="3" width="62.54296875" style="20" bestFit="1" customWidth="1"/>
    <col min="4" max="4" width="22.54296875" style="21" customWidth="1"/>
    <col min="5" max="5" width="12.81640625" style="21" customWidth="1"/>
    <col min="6" max="6" width="8.81640625" style="21" customWidth="1"/>
    <col min="7" max="7" width="2.81640625" style="21" customWidth="1"/>
    <col min="8" max="8" width="9.81640625" style="21" bestFit="1" customWidth="1"/>
    <col min="9" max="9" width="12.81640625" style="21" bestFit="1" customWidth="1"/>
    <col min="10" max="10" width="8.81640625" style="20" customWidth="1"/>
    <col min="11" max="11" width="12.54296875" style="20" bestFit="1" customWidth="1"/>
    <col min="12" max="23" width="8.81640625" style="20" customWidth="1"/>
    <col min="24" max="38" width="8.54296875" style="20" hidden="1" customWidth="1"/>
    <col min="39" max="16384" width="8.54296875" style="20" hidden="1"/>
  </cols>
  <sheetData>
    <row r="1" spans="1:30" s="1" customFormat="1" ht="15.5" x14ac:dyDescent="0.35">
      <c r="B1" s="2" t="s">
        <v>42</v>
      </c>
      <c r="C1" s="2"/>
      <c r="D1" s="2"/>
      <c r="E1" s="2"/>
      <c r="F1" s="2"/>
      <c r="G1" s="2"/>
      <c r="H1" s="2"/>
      <c r="I1" s="2"/>
      <c r="J1" s="2"/>
      <c r="K1" s="2"/>
      <c r="L1" s="95" t="s">
        <v>58</v>
      </c>
      <c r="M1" s="96" t="s">
        <v>59</v>
      </c>
      <c r="N1" s="97" t="s">
        <v>61</v>
      </c>
      <c r="O1" s="2"/>
      <c r="P1" s="2"/>
      <c r="Q1" s="2"/>
      <c r="R1" s="2"/>
      <c r="S1" s="2"/>
      <c r="T1" s="2"/>
      <c r="U1" s="2"/>
      <c r="V1" s="2"/>
      <c r="W1" s="2"/>
    </row>
    <row r="2" spans="1:30" s="7" customFormat="1" ht="13.5" thickBot="1" x14ac:dyDescent="0.35">
      <c r="B2" s="8" t="s">
        <v>105</v>
      </c>
      <c r="C2" s="8"/>
      <c r="D2" s="8"/>
      <c r="E2" s="8"/>
      <c r="F2" s="9"/>
      <c r="G2" s="9"/>
      <c r="H2" s="9"/>
      <c r="I2" s="9"/>
    </row>
    <row r="3" spans="1:30" s="38" customFormat="1" ht="14.75" customHeight="1" x14ac:dyDescent="0.25">
      <c r="D3" s="39"/>
      <c r="E3" s="39"/>
      <c r="F3" s="39"/>
      <c r="G3" s="39"/>
      <c r="H3" s="39"/>
      <c r="I3" s="39"/>
      <c r="J3" s="64" t="s">
        <v>50</v>
      </c>
      <c r="K3" s="64"/>
      <c r="L3" s="64"/>
      <c r="M3" s="39"/>
      <c r="N3" s="202"/>
      <c r="O3" s="202"/>
      <c r="P3" s="202"/>
      <c r="Q3" s="202"/>
      <c r="R3" s="202"/>
      <c r="S3" s="202"/>
      <c r="T3" s="41"/>
      <c r="U3" s="41"/>
      <c r="V3" s="41"/>
      <c r="W3" s="41"/>
      <c r="X3" s="41"/>
      <c r="Y3" s="41"/>
      <c r="Z3" s="41"/>
    </row>
    <row r="4" spans="1:30" s="19" customFormat="1" x14ac:dyDescent="0.2">
      <c r="A4" s="42"/>
      <c r="B4" s="42"/>
      <c r="C4" s="42"/>
      <c r="D4" s="43" t="s">
        <v>45</v>
      </c>
      <c r="E4" s="43" t="s">
        <v>72</v>
      </c>
      <c r="F4" s="44" t="s">
        <v>78</v>
      </c>
      <c r="G4" s="45"/>
      <c r="H4" s="45"/>
      <c r="I4" s="45"/>
      <c r="J4" s="46">
        <f>DATE(PPFirstYear,MONTH('Input|General'!$G$9),1)</f>
        <v>43983</v>
      </c>
      <c r="K4" s="46">
        <f>DATE(PPFirstYear+1,MONTH('Input|General'!$G$9),1)</f>
        <v>44348</v>
      </c>
      <c r="L4" s="46">
        <f>DATE(PPFirstYear+2,MONTH('Input|General'!$G$9),1)</f>
        <v>44713</v>
      </c>
      <c r="M4" s="46">
        <f>DATE(PPFirstYear+3,MONTH('Input|General'!$G$9),1)</f>
        <v>45078</v>
      </c>
      <c r="N4" s="46">
        <f>DATE(PPFirstYear+4,MONTH('Input|General'!$G$9),1)</f>
        <v>45444</v>
      </c>
      <c r="O4" s="46">
        <f>DATE(PPFirstYear+5,MONTH('Input|General'!$G$9),1)</f>
        <v>45809</v>
      </c>
      <c r="P4" s="46">
        <f>DATE(PPFirstYear+6,MONTH('Input|General'!$G$9),1)</f>
        <v>46174</v>
      </c>
      <c r="Q4" s="46">
        <f>DATE(PPFirstYear+7,MONTH('Input|General'!$G$9),1)</f>
        <v>46539</v>
      </c>
      <c r="R4" s="46">
        <f>DATE(PPFirstYear+8,MONTH('Input|General'!$G$9),1)</f>
        <v>46905</v>
      </c>
      <c r="S4" s="46">
        <f>DATE(PPFirstYear+9,MONTH('Input|General'!$G$9),1)</f>
        <v>47270</v>
      </c>
      <c r="T4" s="47"/>
      <c r="U4" s="47"/>
      <c r="V4" s="48"/>
      <c r="W4" s="48"/>
    </row>
    <row r="5" spans="1:30" s="10" customFormat="1" ht="3" customHeight="1" x14ac:dyDescent="0.2">
      <c r="D5" s="11"/>
      <c r="E5" s="11"/>
      <c r="F5" s="11"/>
      <c r="G5" s="11"/>
      <c r="H5" s="11"/>
      <c r="I5" s="11"/>
    </row>
    <row r="6" spans="1:30" s="10" customFormat="1" x14ac:dyDescent="0.2">
      <c r="D6" s="11"/>
      <c r="E6" s="11"/>
      <c r="F6" s="11"/>
      <c r="G6" s="11"/>
      <c r="H6" s="11"/>
      <c r="I6" s="11"/>
    </row>
    <row r="7" spans="1:30" s="10" customFormat="1" ht="3" customHeight="1" x14ac:dyDescent="0.2">
      <c r="D7" s="11"/>
      <c r="E7" s="11"/>
      <c r="F7" s="11"/>
      <c r="G7" s="11"/>
      <c r="H7" s="11"/>
      <c r="I7" s="11"/>
    </row>
    <row r="8" spans="1:30" s="19" customFormat="1" ht="13" x14ac:dyDescent="0.3">
      <c r="A8" s="12"/>
      <c r="B8" s="13" t="s">
        <v>86</v>
      </c>
      <c r="C8" s="12"/>
      <c r="D8" s="12"/>
      <c r="E8" s="65" t="s">
        <v>87</v>
      </c>
      <c r="F8" s="81">
        <f>DATE(PPLastYear,MONTH('Input|General'!G9),1)</f>
        <v>45444</v>
      </c>
      <c r="G8" s="14"/>
      <c r="H8" s="14"/>
      <c r="I8" s="14"/>
      <c r="J8" s="15"/>
      <c r="K8" s="16"/>
      <c r="L8" s="15"/>
      <c r="M8" s="16"/>
      <c r="N8" s="15"/>
      <c r="O8" s="15"/>
      <c r="P8" s="15"/>
      <c r="Q8" s="15"/>
      <c r="R8" s="15"/>
      <c r="S8" s="15"/>
      <c r="T8" s="15"/>
      <c r="U8" s="15"/>
      <c r="V8" s="16"/>
      <c r="W8" s="16"/>
      <c r="X8" s="17"/>
      <c r="Y8" s="17"/>
      <c r="Z8" s="17"/>
      <c r="AA8" s="17"/>
      <c r="AB8" s="17"/>
      <c r="AC8" s="18"/>
      <c r="AD8" s="18"/>
    </row>
    <row r="9" spans="1:30" outlineLevel="1" x14ac:dyDescent="0.2"/>
    <row r="10" spans="1:30" ht="10.5" outlineLevel="1" x14ac:dyDescent="0.25">
      <c r="C10" s="29" t="s">
        <v>88</v>
      </c>
      <c r="D10" s="23" t="s">
        <v>45</v>
      </c>
      <c r="E10" s="23" t="s">
        <v>72</v>
      </c>
      <c r="F10" s="23" t="s">
        <v>78</v>
      </c>
      <c r="J10" s="61">
        <f t="shared" ref="J10:S10" si="0">IF(YEAR(J$4)&lt;=PPLastYear,J$4,"")</f>
        <v>43983</v>
      </c>
      <c r="K10" s="61">
        <f t="shared" si="0"/>
        <v>44348</v>
      </c>
      <c r="L10" s="61">
        <f t="shared" si="0"/>
        <v>44713</v>
      </c>
      <c r="M10" s="61">
        <f t="shared" si="0"/>
        <v>45078</v>
      </c>
      <c r="N10" s="61">
        <f t="shared" si="0"/>
        <v>45444</v>
      </c>
      <c r="O10" s="61" t="str">
        <f t="shared" si="0"/>
        <v/>
      </c>
      <c r="P10" s="61" t="str">
        <f t="shared" si="0"/>
        <v/>
      </c>
      <c r="Q10" s="61" t="str">
        <f t="shared" si="0"/>
        <v/>
      </c>
      <c r="R10" s="61" t="str">
        <f t="shared" si="0"/>
        <v/>
      </c>
      <c r="S10" s="61" t="str">
        <f t="shared" si="0"/>
        <v/>
      </c>
    </row>
    <row r="11" spans="1:30" outlineLevel="1" x14ac:dyDescent="0.2">
      <c r="C11" s="54"/>
      <c r="J11" s="63"/>
      <c r="K11" s="63"/>
      <c r="L11" s="63"/>
      <c r="M11" s="63"/>
      <c r="N11" s="63"/>
      <c r="O11" s="63"/>
      <c r="P11" s="63"/>
      <c r="Q11" s="63"/>
      <c r="R11" s="63"/>
      <c r="S11" s="63"/>
    </row>
    <row r="12" spans="1:30" outlineLevel="1" x14ac:dyDescent="0.2">
      <c r="C12" s="54" t="s">
        <v>106</v>
      </c>
      <c r="D12" s="147" t="s">
        <v>90</v>
      </c>
      <c r="E12" s="21" t="str">
        <f>$E$8</f>
        <v>$millions</v>
      </c>
      <c r="F12" s="68" t="s">
        <v>107</v>
      </c>
      <c r="J12" s="69"/>
      <c r="K12" s="69"/>
      <c r="L12" s="69"/>
      <c r="M12" s="78">
        <f>INDEX($M$130:$S$131,MATCH($F12,$F$130:$F$131,0),MATCH(M$10,$M$127:$S$127,0))</f>
        <v>16.504389649000704</v>
      </c>
      <c r="N12" s="78"/>
      <c r="O12" s="78"/>
      <c r="P12" s="78"/>
      <c r="Q12" s="78"/>
      <c r="R12" s="78"/>
      <c r="S12" s="78"/>
    </row>
    <row r="13" spans="1:30" ht="10.5" outlineLevel="1" x14ac:dyDescent="0.25">
      <c r="C13" s="54" t="str">
        <f>C12</f>
        <v>Insurance premiums</v>
      </c>
      <c r="D13" s="21" t="s">
        <v>70</v>
      </c>
      <c r="E13" s="21" t="str">
        <f>$E$8</f>
        <v>$millions</v>
      </c>
      <c r="F13" s="70">
        <f>$F$8</f>
        <v>45444</v>
      </c>
      <c r="J13" s="71"/>
      <c r="K13" s="71"/>
      <c r="L13" s="71"/>
      <c r="M13" s="78">
        <f>M12*IF($F12="nominal",LOOKUP($F13,'Lookup|Tables'!Nominal_to_Real,'Calc|CPI Indexes'!N$31:N$42),INDEX('Calc|CPI Indexes'!$C$14:$T$27,MATCH($F12,'Calc|CPI Indexes'!$C$14:$C$27,0),MATCH($F13,'Calc|CPI Indexes'!$C$14:$T$14,0)))</f>
        <v>17.606271068020735</v>
      </c>
      <c r="N13" s="78"/>
      <c r="O13" s="78"/>
      <c r="P13" s="79"/>
      <c r="Q13" s="79"/>
      <c r="R13" s="79"/>
      <c r="S13" s="79"/>
    </row>
    <row r="14" spans="1:30" x14ac:dyDescent="0.2">
      <c r="J14" s="63"/>
      <c r="K14" s="63"/>
      <c r="L14" s="63"/>
    </row>
    <row r="15" spans="1:30" s="19" customFormat="1" ht="13" x14ac:dyDescent="0.3">
      <c r="A15" s="12"/>
      <c r="B15" s="13" t="s">
        <v>91</v>
      </c>
      <c r="C15" s="12"/>
      <c r="D15" s="12"/>
      <c r="E15" s="12"/>
      <c r="F15" s="14"/>
      <c r="G15" s="14"/>
      <c r="H15" s="14"/>
      <c r="I15" s="14"/>
      <c r="J15" s="15"/>
      <c r="K15" s="16"/>
      <c r="L15" s="15"/>
      <c r="M15" s="16"/>
      <c r="N15" s="15"/>
      <c r="O15" s="15"/>
      <c r="P15" s="15"/>
      <c r="Q15" s="15"/>
      <c r="R15" s="15"/>
      <c r="S15" s="15"/>
      <c r="T15" s="15"/>
      <c r="U15" s="15"/>
      <c r="V15" s="16"/>
      <c r="W15" s="16"/>
      <c r="X15" s="17"/>
      <c r="Y15" s="17"/>
      <c r="Z15" s="17"/>
      <c r="AA15" s="17"/>
      <c r="AB15" s="17"/>
      <c r="AC15" s="18"/>
      <c r="AD15" s="18"/>
    </row>
    <row r="16" spans="1:30" outlineLevel="1" x14ac:dyDescent="0.2">
      <c r="C16" s="54"/>
      <c r="J16" s="63"/>
      <c r="K16" s="63"/>
      <c r="L16" s="63"/>
    </row>
    <row r="17" spans="1:30" ht="10.5" outlineLevel="1" x14ac:dyDescent="0.25">
      <c r="C17" s="29" t="s">
        <v>92</v>
      </c>
      <c r="D17" s="23" t="s">
        <v>45</v>
      </c>
      <c r="E17" s="23" t="s">
        <v>72</v>
      </c>
      <c r="F17" s="23" t="s">
        <v>78</v>
      </c>
      <c r="J17" s="61" t="str">
        <f>IF(YEAR(J$4)&gt;='Input|General'!$G$13,IF(YEAR(J$4)&lt;='Input|General'!$G$14,J$4,""),"")</f>
        <v/>
      </c>
      <c r="K17" s="61" t="str">
        <f>IF(YEAR(K$4)&gt;='Input|General'!$G$13,IF(YEAR(K$4)&lt;='Input|General'!$G$14,K$4,""),"")</f>
        <v/>
      </c>
      <c r="L17" s="61" t="str">
        <f>IF(YEAR(L$4)&gt;='Input|General'!$G$13,IF(YEAR(L$4)&lt;='Input|General'!$G$14,L$4,""),"")</f>
        <v/>
      </c>
      <c r="M17" s="61" t="str">
        <f>IF(YEAR(M$4)&gt;='Input|General'!$G$13,IF(YEAR(M$4)&lt;='Input|General'!$G$14,M$4,""),"")</f>
        <v/>
      </c>
      <c r="N17" s="61" t="str">
        <f>IF(YEAR(N$4)&gt;='Input|General'!$G$13,IF(YEAR(N$4)&lt;='Input|General'!$G$14,N$4,""),"")</f>
        <v/>
      </c>
      <c r="O17" s="154">
        <f>IF(YEAR(O$4)&gt;=FPFirstYear,IF(YEAR(O$4)&lt;=FPLastYear,O$4,""),"")</f>
        <v>45809</v>
      </c>
      <c r="P17" s="154">
        <f>IF(YEAR(P$4)&gt;=FPFirstYear,IF(YEAR(P$4)&lt;=FPLastYear,P$4,""),"")</f>
        <v>46174</v>
      </c>
      <c r="Q17" s="154">
        <f>IF(YEAR(Q$4)&gt;=FPFirstYear,IF(YEAR(Q$4)&lt;=FPLastYear,Q$4,""),"")</f>
        <v>46539</v>
      </c>
      <c r="R17" s="154">
        <f>IF(YEAR(R$4)&gt;=FPFirstYear,IF(YEAR(R$4)&lt;=FPLastYear,R$4,""),"")</f>
        <v>46905</v>
      </c>
      <c r="S17" s="154">
        <f>IF(YEAR(S$4)&gt;=FPFirstYear,IF(YEAR(S$4)&lt;=FPLastYear,S$4,""),"")</f>
        <v>47270</v>
      </c>
    </row>
    <row r="18" spans="1:30" ht="10.5" outlineLevel="1" x14ac:dyDescent="0.25">
      <c r="C18" s="29"/>
      <c r="J18" s="24"/>
      <c r="K18" s="24"/>
      <c r="L18" s="24"/>
      <c r="M18" s="24"/>
      <c r="N18" s="24"/>
      <c r="O18" s="24"/>
      <c r="P18" s="24"/>
      <c r="Q18" s="24"/>
      <c r="R18" s="24"/>
      <c r="S18" s="24"/>
    </row>
    <row r="19" spans="1:30" outlineLevel="1" x14ac:dyDescent="0.2">
      <c r="C19" s="54" t="s">
        <v>106</v>
      </c>
      <c r="D19" s="147" t="s">
        <v>90</v>
      </c>
      <c r="E19" s="21" t="str">
        <f>$E$8</f>
        <v>$millions</v>
      </c>
      <c r="F19" s="68" t="s">
        <v>107</v>
      </c>
      <c r="J19" s="73"/>
      <c r="K19" s="73"/>
      <c r="L19" s="73"/>
      <c r="M19" s="73"/>
      <c r="N19" s="73"/>
      <c r="O19" s="78">
        <f>INDEX($M$130:$S$131,MATCH($F19,$F$130:$F$131,0),MATCH(O$17,$M$127:$S$127,0))</f>
        <v>19.62360120261593</v>
      </c>
      <c r="P19" s="78">
        <f>INDEX($M$130:$S$131,MATCH($F19,$F$130:$F$131,0),MATCH(P$17,$M$127:$S$127,0))</f>
        <v>20.818160440616023</v>
      </c>
      <c r="Q19" s="78">
        <f>INDEX($M$130:$S$131,MATCH($F19,$F$130:$F$131,0),MATCH(Q$17,$M$127:$S$127,0))</f>
        <v>21.658611679885645</v>
      </c>
      <c r="R19" s="78">
        <f>INDEX($M$130:$S$131,MATCH($F19,$F$130:$F$131,0),MATCH(R$17,$M$127:$S$127,0))</f>
        <v>22.201398615795991</v>
      </c>
      <c r="S19" s="78">
        <f>INDEX($M$130:$S$131,MATCH($F19,$F$130:$F$131,0),MATCH(S$17,$M$127:$S$127,0))</f>
        <v>22.285507218878866</v>
      </c>
    </row>
    <row r="20" spans="1:30" outlineLevel="1" x14ac:dyDescent="0.2">
      <c r="C20" s="54" t="str">
        <f>C19</f>
        <v>Insurance premiums</v>
      </c>
      <c r="D20" s="21" t="s">
        <v>70</v>
      </c>
      <c r="E20" s="21" t="str">
        <f>$E$8</f>
        <v>$millions</v>
      </c>
      <c r="F20" s="70">
        <f t="shared" ref="F20" si="1">$F$8</f>
        <v>45444</v>
      </c>
      <c r="J20" s="73"/>
      <c r="K20" s="73"/>
      <c r="L20" s="73"/>
      <c r="M20" s="73"/>
      <c r="N20" s="73"/>
      <c r="O20" s="78">
        <f>O19*IF($F19="nominal",LOOKUP($F20,'Lookup|Tables'!Nominal_to_Real,'Calc|CPI Indexes'!P$31:P$42),INDEX('Calc|CPI Indexes'!$C$14:$T$27,MATCH($F19,'Calc|CPI Indexes'!$C$14:$C$27,0),MATCH($F20,'Calc|CPI Indexes'!$C$14:$T$14,0)))</f>
        <v>19.35452932767204</v>
      </c>
      <c r="P20" s="78">
        <f>P19*IF($F19="nominal",LOOKUP($F20,'Lookup|Tables'!Nominal_to_Real,'Calc|CPI Indexes'!Q$31:Q$42),INDEX('Calc|CPI Indexes'!$C$14:$T$27,MATCH($F19,'Calc|CPI Indexes'!$C$14:$C$27,0),MATCH($F20,'Calc|CPI Indexes'!$C$14:$T$14,0)))</f>
        <v>19.973495047248374</v>
      </c>
      <c r="Q20" s="78">
        <f>Q19*IF($F19="nominal",LOOKUP($F20,'Lookup|Tables'!Nominal_to_Real,'Calc|CPI Indexes'!R$31:R$42),INDEX('Calc|CPI Indexes'!$C$14:$T$27,MATCH($F19,'Calc|CPI Indexes'!$C$14:$C$27,0),MATCH($F20,'Calc|CPI Indexes'!$C$14:$T$14,0)))</f>
        <v>20.213901255274568</v>
      </c>
      <c r="R20" s="78">
        <f>R19*IF($F19="nominal",LOOKUP($F20,'Lookup|Tables'!Nominal_to_Real,'Calc|CPI Indexes'!S$31:S$42),INDEX('Calc|CPI Indexes'!$C$14:$T$27,MATCH($F19,'Calc|CPI Indexes'!$C$14:$C$27,0),MATCH($F20,'Calc|CPI Indexes'!$C$14:$T$14,0)))</f>
        <v>20.156154074109928</v>
      </c>
      <c r="S20" s="78">
        <f>S19*IF($F19="nominal",LOOKUP($F20,'Lookup|Tables'!Nominal_to_Real,'Calc|CPI Indexes'!T$31:T$42),INDEX('Calc|CPI Indexes'!$C$14:$T$27,MATCH($F19,'Calc|CPI Indexes'!$C$14:$C$27,0),MATCH($F20,'Calc|CPI Indexes'!$C$14:$T$14,0)))</f>
        <v>19.681476142102081</v>
      </c>
    </row>
    <row r="21" spans="1:30" outlineLevel="1" x14ac:dyDescent="0.2">
      <c r="C21" s="72"/>
      <c r="F21" s="70"/>
      <c r="J21" s="73"/>
      <c r="K21" s="73"/>
      <c r="L21" s="73"/>
      <c r="M21" s="73"/>
      <c r="N21" s="73"/>
      <c r="O21" s="73"/>
      <c r="P21" s="73"/>
      <c r="Q21" s="73"/>
      <c r="R21" s="73"/>
      <c r="S21" s="73"/>
    </row>
    <row r="22" spans="1:30" s="19" customFormat="1" ht="13" x14ac:dyDescent="0.3">
      <c r="A22" s="12"/>
      <c r="B22" s="13" t="s">
        <v>93</v>
      </c>
      <c r="C22" s="12"/>
      <c r="D22" s="12"/>
      <c r="E22" s="12"/>
      <c r="F22" s="14"/>
      <c r="G22" s="14"/>
      <c r="H22" s="14"/>
      <c r="I22" s="14"/>
      <c r="J22" s="15"/>
      <c r="K22" s="16"/>
      <c r="L22" s="15"/>
      <c r="M22" s="16"/>
      <c r="N22" s="15"/>
      <c r="O22" s="15"/>
      <c r="P22" s="15"/>
      <c r="Q22" s="15"/>
      <c r="R22" s="15"/>
      <c r="S22" s="15"/>
      <c r="T22" s="15"/>
      <c r="U22" s="15"/>
      <c r="V22" s="16"/>
      <c r="W22" s="16"/>
      <c r="X22" s="17"/>
      <c r="Y22" s="17"/>
      <c r="Z22" s="17"/>
      <c r="AA22" s="17"/>
      <c r="AB22" s="17"/>
      <c r="AC22" s="18"/>
      <c r="AD22" s="18"/>
    </row>
    <row r="23" spans="1:30" outlineLevel="1" x14ac:dyDescent="0.2">
      <c r="C23" s="54"/>
      <c r="J23" s="63"/>
      <c r="K23" s="63"/>
      <c r="L23" s="63"/>
    </row>
    <row r="24" spans="1:30" ht="10.5" outlineLevel="1" x14ac:dyDescent="0.25">
      <c r="C24" s="29" t="s">
        <v>94</v>
      </c>
      <c r="D24" s="23" t="s">
        <v>45</v>
      </c>
      <c r="E24" s="23" t="s">
        <v>72</v>
      </c>
      <c r="F24" s="23" t="s">
        <v>78</v>
      </c>
      <c r="J24" s="61" t="str">
        <f>IF(YEAR(J$4)&gt;='Input|General'!$G$13,IF(YEAR(J$4)&lt;='Input|General'!$G$14,J$4,""),"")</f>
        <v/>
      </c>
      <c r="K24" s="61" t="str">
        <f>IF(YEAR(K$4)&gt;='Input|General'!$G$13,IF(YEAR(K$4)&lt;='Input|General'!$G$14,K$4,""),"")</f>
        <v/>
      </c>
      <c r="L24" s="61" t="str">
        <f>IF(YEAR(L$4)&gt;='Input|General'!$G$13,IF(YEAR(L$4)&lt;='Input|General'!$G$14,L$4,""),"")</f>
        <v/>
      </c>
      <c r="M24" s="61" t="str">
        <f>IF(YEAR(M$4)&gt;='Input|General'!$G$13,IF(YEAR(M$4)&lt;='Input|General'!$G$14,M$4,""),"")</f>
        <v/>
      </c>
      <c r="N24" s="61" t="str">
        <f>IF(YEAR(N$4)&gt;='Input|General'!$G$13,IF(YEAR(N$4)&lt;='Input|General'!$G$14,N$4,""),"")</f>
        <v/>
      </c>
      <c r="O24" s="154">
        <f>IF(YEAR(O$4)&gt;=FPFirstYear,IF(YEAR(O$4)&lt;=FPLastYear,O$4,""),"")</f>
        <v>45809</v>
      </c>
      <c r="P24" s="154">
        <f>IF(YEAR(P$4)&gt;=FPFirstYear,IF(YEAR(P$4)&lt;=FPLastYear,P$4,""),"")</f>
        <v>46174</v>
      </c>
      <c r="Q24" s="154">
        <f>IF(YEAR(Q$4)&gt;=FPFirstYear,IF(YEAR(Q$4)&lt;=FPLastYear,Q$4,""),"")</f>
        <v>46539</v>
      </c>
      <c r="R24" s="154">
        <f>IF(YEAR(R$4)&gt;=FPFirstYear,IF(YEAR(R$4)&lt;=FPLastYear,R$4,""),"")</f>
        <v>46905</v>
      </c>
      <c r="S24" s="154">
        <f>IF(YEAR(S$4)&gt;=FPFirstYear,IF(YEAR(S$4)&lt;=FPLastYear,S$4,""),"")</f>
        <v>47270</v>
      </c>
    </row>
    <row r="25" spans="1:30" ht="10.5" outlineLevel="1" x14ac:dyDescent="0.25">
      <c r="C25" s="29"/>
      <c r="D25" s="23"/>
      <c r="E25" s="23"/>
      <c r="F25" s="23"/>
      <c r="J25" s="61"/>
      <c r="K25" s="61"/>
      <c r="L25" s="61"/>
      <c r="M25" s="61"/>
      <c r="N25" s="61"/>
      <c r="O25" s="61"/>
      <c r="P25" s="61"/>
      <c r="Q25" s="61"/>
      <c r="R25" s="61"/>
      <c r="S25" s="61"/>
    </row>
    <row r="26" spans="1:30" outlineLevel="1" x14ac:dyDescent="0.2">
      <c r="C26" s="54" t="s">
        <v>108</v>
      </c>
      <c r="D26" s="21" t="s">
        <v>70</v>
      </c>
      <c r="E26" s="21" t="str">
        <f>$E$8</f>
        <v>$millions</v>
      </c>
      <c r="F26" s="70">
        <f>F20</f>
        <v>45444</v>
      </c>
      <c r="J26" s="73"/>
      <c r="K26" s="73"/>
      <c r="L26" s="73"/>
      <c r="M26" s="73"/>
      <c r="N26" s="73"/>
      <c r="O26" s="78">
        <f>O20</f>
        <v>19.35452932767204</v>
      </c>
      <c r="P26" s="78">
        <f>P20</f>
        <v>19.973495047248374</v>
      </c>
      <c r="Q26" s="78">
        <f>Q20</f>
        <v>20.213901255274568</v>
      </c>
      <c r="R26" s="78">
        <f>R20</f>
        <v>20.156154074109928</v>
      </c>
      <c r="S26" s="78">
        <f>S20</f>
        <v>19.681476142102081</v>
      </c>
    </row>
    <row r="27" spans="1:30" ht="10.5" outlineLevel="1" x14ac:dyDescent="0.25">
      <c r="C27" s="54" t="s">
        <v>109</v>
      </c>
      <c r="D27" s="21" t="s">
        <v>70</v>
      </c>
      <c r="E27" s="21" t="str">
        <f>$E$8</f>
        <v>$millions</v>
      </c>
      <c r="F27" s="70">
        <f>F13</f>
        <v>45444</v>
      </c>
      <c r="J27" s="24"/>
      <c r="K27" s="24"/>
      <c r="L27" s="24"/>
      <c r="M27" s="24"/>
      <c r="N27" s="24"/>
      <c r="O27" s="78">
        <f>$M$13</f>
        <v>17.606271068020735</v>
      </c>
      <c r="P27" s="78">
        <f t="shared" ref="P27:S27" si="2">$M$13</f>
        <v>17.606271068020735</v>
      </c>
      <c r="Q27" s="78">
        <f t="shared" si="2"/>
        <v>17.606271068020735</v>
      </c>
      <c r="R27" s="78">
        <f t="shared" si="2"/>
        <v>17.606271068020735</v>
      </c>
      <c r="S27" s="78">
        <f t="shared" si="2"/>
        <v>17.606271068020735</v>
      </c>
    </row>
    <row r="28" spans="1:30" ht="3" customHeight="1" x14ac:dyDescent="0.2">
      <c r="F28" s="105"/>
      <c r="O28" s="100"/>
      <c r="P28" s="100"/>
      <c r="Q28" s="100"/>
      <c r="R28" s="100"/>
      <c r="S28" s="100"/>
    </row>
    <row r="29" spans="1:30" ht="10.5" outlineLevel="1" x14ac:dyDescent="0.25">
      <c r="C29" s="74" t="s">
        <v>110</v>
      </c>
      <c r="D29" s="75" t="s">
        <v>70</v>
      </c>
      <c r="E29" s="75" t="str">
        <f>$E$8</f>
        <v>$millions</v>
      </c>
      <c r="F29" s="76">
        <f>F27</f>
        <v>45444</v>
      </c>
      <c r="G29" s="23"/>
      <c r="H29" s="23"/>
      <c r="I29" s="23"/>
      <c r="J29" s="77"/>
      <c r="K29" s="77"/>
      <c r="L29" s="77"/>
      <c r="M29" s="77"/>
      <c r="N29" s="77"/>
      <c r="O29" s="79">
        <f>O26-O27</f>
        <v>1.7482582596513048</v>
      </c>
      <c r="P29" s="79">
        <f>P26-P27</f>
        <v>2.3672239792276386</v>
      </c>
      <c r="Q29" s="79">
        <f>Q26-Q27</f>
        <v>2.6076301872538323</v>
      </c>
      <c r="R29" s="79">
        <f>R26-R27</f>
        <v>2.5498830060891926</v>
      </c>
      <c r="S29" s="79">
        <f>S26-S27</f>
        <v>2.0752050740813459</v>
      </c>
    </row>
    <row r="30" spans="1:30" ht="10.5" outlineLevel="1" x14ac:dyDescent="0.25">
      <c r="C30" s="23"/>
      <c r="D30" s="23"/>
      <c r="E30" s="23"/>
      <c r="F30" s="76"/>
      <c r="G30" s="23"/>
      <c r="H30" s="23"/>
      <c r="I30" s="23"/>
      <c r="J30" s="77"/>
      <c r="K30" s="77"/>
      <c r="L30" s="77"/>
      <c r="M30" s="77"/>
      <c r="N30" s="77"/>
      <c r="O30" s="77"/>
      <c r="P30" s="77"/>
      <c r="Q30" s="77"/>
      <c r="R30" s="77"/>
      <c r="S30" s="77"/>
    </row>
    <row r="31" spans="1:30" s="19" customFormat="1" ht="13" x14ac:dyDescent="0.3">
      <c r="A31" s="12"/>
      <c r="B31" s="13" t="s">
        <v>98</v>
      </c>
      <c r="C31" s="12"/>
      <c r="D31" s="12"/>
      <c r="E31" s="12"/>
      <c r="F31" s="14"/>
      <c r="G31" s="14"/>
      <c r="H31" s="14"/>
      <c r="I31" s="14"/>
      <c r="J31" s="15"/>
      <c r="K31" s="16"/>
      <c r="L31" s="15"/>
      <c r="M31" s="16"/>
      <c r="N31" s="15"/>
      <c r="O31" s="15"/>
      <c r="P31" s="15"/>
      <c r="Q31" s="15"/>
      <c r="R31" s="15"/>
      <c r="S31" s="15"/>
      <c r="T31" s="15"/>
      <c r="U31" s="15"/>
      <c r="V31" s="16"/>
      <c r="W31" s="16"/>
      <c r="X31" s="17"/>
      <c r="Y31" s="17"/>
      <c r="Z31" s="17"/>
      <c r="AA31" s="17"/>
      <c r="AB31" s="17"/>
      <c r="AC31" s="18"/>
      <c r="AD31" s="18"/>
    </row>
    <row r="32" spans="1:30" x14ac:dyDescent="0.2">
      <c r="C32" s="54"/>
      <c r="D32" s="63"/>
      <c r="E32" s="63"/>
      <c r="F32" s="108"/>
      <c r="G32" s="63"/>
      <c r="H32" s="63"/>
      <c r="I32" s="63"/>
      <c r="J32" s="73"/>
      <c r="K32" s="73"/>
      <c r="L32" s="73"/>
      <c r="M32" s="73"/>
      <c r="N32" s="73"/>
      <c r="O32" s="78"/>
      <c r="P32" s="78"/>
      <c r="Q32" s="78"/>
      <c r="R32" s="78"/>
      <c r="S32" s="78"/>
    </row>
    <row r="33" spans="3:23" ht="10.5" x14ac:dyDescent="0.25">
      <c r="C33" s="29" t="s">
        <v>111</v>
      </c>
      <c r="D33" s="23" t="s">
        <v>45</v>
      </c>
      <c r="E33" s="23" t="s">
        <v>72</v>
      </c>
      <c r="F33" s="23" t="s">
        <v>78</v>
      </c>
      <c r="G33" s="63"/>
      <c r="H33" s="121" t="s">
        <v>112</v>
      </c>
      <c r="I33" s="121" t="s">
        <v>113</v>
      </c>
      <c r="J33" s="73"/>
      <c r="K33" s="73"/>
      <c r="L33" s="154">
        <f t="shared" ref="L33:S33" si="3">IF(YEAR(L$4)&lt;=PPLastYear,L$4,IF(YEAR(L$4)&gt;=FPFirstYear,IF(YEAR(L$4)&lt;=FPLastYear,L$4,""),""))</f>
        <v>44713</v>
      </c>
      <c r="M33" s="154">
        <f t="shared" si="3"/>
        <v>45078</v>
      </c>
      <c r="N33" s="154">
        <f t="shared" si="3"/>
        <v>45444</v>
      </c>
      <c r="O33" s="154">
        <f t="shared" si="3"/>
        <v>45809</v>
      </c>
      <c r="P33" s="154">
        <f t="shared" si="3"/>
        <v>46174</v>
      </c>
      <c r="Q33" s="154">
        <f t="shared" si="3"/>
        <v>46539</v>
      </c>
      <c r="R33" s="154">
        <f t="shared" si="3"/>
        <v>46905</v>
      </c>
      <c r="S33" s="154">
        <f t="shared" si="3"/>
        <v>47270</v>
      </c>
      <c r="W33" s="126" t="s">
        <v>114</v>
      </c>
    </row>
    <row r="34" spans="3:23" x14ac:dyDescent="0.2">
      <c r="C34" s="54" t="s">
        <v>115</v>
      </c>
      <c r="D34" s="147" t="s">
        <v>116</v>
      </c>
      <c r="E34" s="21" t="s">
        <v>101</v>
      </c>
      <c r="F34" s="68" t="s">
        <v>107</v>
      </c>
      <c r="G34" s="63"/>
      <c r="H34" s="196"/>
      <c r="I34" s="196"/>
      <c r="J34" s="73"/>
      <c r="K34" s="73"/>
      <c r="L34" s="191"/>
      <c r="M34" s="191"/>
      <c r="N34" s="157"/>
      <c r="O34" s="157"/>
      <c r="P34" s="78"/>
      <c r="Q34" s="78"/>
      <c r="R34" s="78"/>
      <c r="S34" s="78"/>
    </row>
    <row r="35" spans="3:23" x14ac:dyDescent="0.2">
      <c r="C35" s="54" t="s">
        <v>117</v>
      </c>
      <c r="D35" s="147" t="s">
        <v>116</v>
      </c>
      <c r="E35" s="21" t="s">
        <v>101</v>
      </c>
      <c r="F35" s="68" t="s">
        <v>107</v>
      </c>
      <c r="G35" s="63"/>
      <c r="H35" s="196"/>
      <c r="I35" s="196"/>
      <c r="J35" s="73"/>
      <c r="K35" s="73"/>
      <c r="L35" s="191"/>
      <c r="M35" s="191"/>
      <c r="N35" s="78"/>
      <c r="O35" s="78"/>
      <c r="P35" s="78"/>
      <c r="Q35" s="78"/>
      <c r="R35" s="78"/>
      <c r="S35" s="78"/>
    </row>
    <row r="36" spans="3:23" x14ac:dyDescent="0.2">
      <c r="C36" s="54" t="s">
        <v>118</v>
      </c>
      <c r="D36" s="147" t="s">
        <v>116</v>
      </c>
      <c r="E36" s="21" t="s">
        <v>101</v>
      </c>
      <c r="F36" s="68" t="s">
        <v>107</v>
      </c>
      <c r="G36" s="63"/>
      <c r="H36" s="196"/>
      <c r="I36" s="196"/>
      <c r="J36" s="73"/>
      <c r="K36" s="73"/>
      <c r="L36" s="191"/>
      <c r="M36" s="191"/>
      <c r="N36" s="78"/>
      <c r="O36" s="78"/>
      <c r="P36" s="78"/>
      <c r="Q36" s="78"/>
      <c r="R36" s="78"/>
      <c r="S36" s="78"/>
    </row>
    <row r="37" spans="3:23" x14ac:dyDescent="0.2">
      <c r="C37" s="54" t="s">
        <v>119</v>
      </c>
      <c r="D37" s="147" t="s">
        <v>116</v>
      </c>
      <c r="E37" s="21" t="s">
        <v>101</v>
      </c>
      <c r="F37" s="68" t="s">
        <v>107</v>
      </c>
      <c r="G37" s="63"/>
      <c r="H37" s="196"/>
      <c r="I37" s="196"/>
      <c r="J37" s="73"/>
      <c r="K37" s="73"/>
      <c r="L37" s="191"/>
      <c r="M37" s="191"/>
      <c r="N37" s="78"/>
      <c r="O37" s="78"/>
      <c r="P37" s="78"/>
      <c r="Q37" s="78"/>
      <c r="R37" s="78"/>
      <c r="S37" s="78"/>
    </row>
    <row r="38" spans="3:23" x14ac:dyDescent="0.2">
      <c r="C38" s="54" t="s">
        <v>120</v>
      </c>
      <c r="D38" s="147" t="s">
        <v>116</v>
      </c>
      <c r="E38" s="21" t="s">
        <v>101</v>
      </c>
      <c r="F38" s="68" t="s">
        <v>107</v>
      </c>
      <c r="G38" s="63"/>
      <c r="H38" s="196"/>
      <c r="I38" s="196"/>
      <c r="J38" s="73"/>
      <c r="K38" s="73"/>
      <c r="L38" s="111"/>
      <c r="M38" s="111"/>
      <c r="N38" s="78"/>
      <c r="O38" s="78"/>
      <c r="P38" s="78"/>
      <c r="Q38" s="78"/>
      <c r="R38" s="78"/>
      <c r="S38" s="78"/>
      <c r="W38" s="21" t="s">
        <v>121</v>
      </c>
    </row>
    <row r="39" spans="3:23" x14ac:dyDescent="0.2">
      <c r="C39" s="54" t="s">
        <v>122</v>
      </c>
      <c r="D39" s="147" t="s">
        <v>116</v>
      </c>
      <c r="E39" s="21" t="s">
        <v>101</v>
      </c>
      <c r="F39" s="68" t="s">
        <v>107</v>
      </c>
      <c r="G39" s="63"/>
      <c r="H39" s="196"/>
      <c r="I39" s="196"/>
      <c r="J39" s="73"/>
      <c r="K39" s="73"/>
      <c r="L39" s="191"/>
      <c r="M39" s="191"/>
      <c r="N39" s="78"/>
      <c r="O39" s="78"/>
      <c r="P39" s="78"/>
      <c r="Q39" s="78"/>
      <c r="R39" s="78"/>
      <c r="S39" s="78"/>
      <c r="W39" s="21"/>
    </row>
    <row r="40" spans="3:23" x14ac:dyDescent="0.2">
      <c r="C40" s="54" t="s">
        <v>123</v>
      </c>
      <c r="D40" s="147" t="s">
        <v>116</v>
      </c>
      <c r="E40" s="21" t="s">
        <v>101</v>
      </c>
      <c r="F40" s="68" t="s">
        <v>107</v>
      </c>
      <c r="G40" s="63"/>
      <c r="H40" s="196"/>
      <c r="I40" s="196"/>
      <c r="J40" s="73"/>
      <c r="K40" s="73"/>
      <c r="L40" s="111"/>
      <c r="M40" s="111"/>
      <c r="N40" s="78"/>
      <c r="O40" s="78"/>
      <c r="P40" s="78"/>
      <c r="Q40" s="78"/>
      <c r="R40" s="78"/>
      <c r="S40" s="78"/>
      <c r="W40" s="21" t="s">
        <v>121</v>
      </c>
    </row>
    <row r="41" spans="3:23" x14ac:dyDescent="0.2">
      <c r="C41" s="54" t="s">
        <v>124</v>
      </c>
      <c r="D41" s="147" t="s">
        <v>116</v>
      </c>
      <c r="E41" s="21" t="s">
        <v>101</v>
      </c>
      <c r="F41" s="68" t="s">
        <v>107</v>
      </c>
      <c r="G41" s="63"/>
      <c r="H41" s="196"/>
      <c r="I41" s="196"/>
      <c r="J41" s="73"/>
      <c r="K41" s="73"/>
      <c r="L41" s="111"/>
      <c r="M41" s="111"/>
      <c r="N41" s="78"/>
      <c r="O41" s="78"/>
      <c r="P41" s="78"/>
      <c r="Q41" s="78"/>
      <c r="R41" s="78"/>
      <c r="S41" s="78"/>
      <c r="W41" s="21" t="s">
        <v>121</v>
      </c>
    </row>
    <row r="42" spans="3:23" x14ac:dyDescent="0.2">
      <c r="C42" s="54" t="s">
        <v>125</v>
      </c>
      <c r="D42" s="147" t="s">
        <v>116</v>
      </c>
      <c r="E42" s="21" t="s">
        <v>101</v>
      </c>
      <c r="F42" s="68" t="s">
        <v>107</v>
      </c>
      <c r="G42" s="63"/>
      <c r="H42" s="196"/>
      <c r="I42" s="196"/>
      <c r="J42" s="73"/>
      <c r="K42" s="73"/>
      <c r="L42" s="111"/>
      <c r="M42" s="111"/>
      <c r="N42" s="78"/>
      <c r="O42" s="78"/>
      <c r="P42" s="78"/>
      <c r="Q42" s="78"/>
      <c r="R42" s="78"/>
      <c r="S42" s="78"/>
      <c r="W42" s="21" t="s">
        <v>121</v>
      </c>
    </row>
    <row r="43" spans="3:23" x14ac:dyDescent="0.2">
      <c r="C43" s="54" t="s">
        <v>126</v>
      </c>
      <c r="D43" s="147" t="s">
        <v>116</v>
      </c>
      <c r="E43" s="21" t="s">
        <v>101</v>
      </c>
      <c r="F43" s="68" t="s">
        <v>107</v>
      </c>
      <c r="G43" s="63"/>
      <c r="H43" s="196"/>
      <c r="I43" s="196"/>
      <c r="J43" s="73"/>
      <c r="K43" s="73"/>
      <c r="L43" s="191"/>
      <c r="M43" s="191"/>
      <c r="N43" s="78"/>
      <c r="O43" s="78"/>
      <c r="P43" s="78"/>
      <c r="Q43" s="78"/>
      <c r="R43" s="78"/>
      <c r="S43" s="78"/>
    </row>
    <row r="44" spans="3:23" x14ac:dyDescent="0.2">
      <c r="C44" s="54" t="s">
        <v>127</v>
      </c>
      <c r="D44" s="147" t="s">
        <v>116</v>
      </c>
      <c r="E44" s="21" t="s">
        <v>101</v>
      </c>
      <c r="F44" s="68" t="s">
        <v>107</v>
      </c>
      <c r="G44" s="63"/>
      <c r="H44" s="196"/>
      <c r="I44" s="196"/>
      <c r="J44" s="73"/>
      <c r="K44" s="73"/>
      <c r="L44" s="191"/>
      <c r="M44" s="191"/>
      <c r="N44" s="78"/>
      <c r="O44" s="78"/>
      <c r="P44" s="78"/>
      <c r="Q44" s="78"/>
      <c r="R44" s="78"/>
      <c r="S44" s="78"/>
    </row>
    <row r="45" spans="3:23" x14ac:dyDescent="0.2">
      <c r="C45" s="54" t="s">
        <v>128</v>
      </c>
      <c r="D45" s="147" t="s">
        <v>116</v>
      </c>
      <c r="E45" s="21" t="s">
        <v>101</v>
      </c>
      <c r="F45" s="68" t="s">
        <v>107</v>
      </c>
      <c r="G45" s="63"/>
      <c r="H45" s="196"/>
      <c r="I45" s="196"/>
      <c r="J45" s="73"/>
      <c r="K45" s="73"/>
      <c r="L45" s="191"/>
      <c r="M45" s="191"/>
      <c r="N45" s="78"/>
      <c r="O45" s="78"/>
      <c r="P45" s="78"/>
      <c r="Q45" s="78"/>
      <c r="R45" s="78"/>
      <c r="S45" s="78"/>
    </row>
    <row r="46" spans="3:23" x14ac:dyDescent="0.2">
      <c r="C46" s="54" t="s">
        <v>129</v>
      </c>
      <c r="D46" s="147" t="s">
        <v>116</v>
      </c>
      <c r="E46" s="21" t="s">
        <v>101</v>
      </c>
      <c r="F46" s="68" t="s">
        <v>107</v>
      </c>
      <c r="G46" s="63"/>
      <c r="H46" s="196"/>
      <c r="I46" s="196"/>
      <c r="J46" s="73"/>
      <c r="K46" s="73"/>
      <c r="L46" s="191"/>
      <c r="M46" s="191"/>
      <c r="N46" s="78"/>
      <c r="O46" s="78"/>
      <c r="P46" s="78"/>
      <c r="Q46" s="78"/>
      <c r="R46" s="78"/>
      <c r="S46" s="78"/>
    </row>
    <row r="47" spans="3:23" x14ac:dyDescent="0.2">
      <c r="C47" s="54" t="s">
        <v>130</v>
      </c>
      <c r="D47" s="147" t="s">
        <v>116</v>
      </c>
      <c r="E47" s="21" t="s">
        <v>101</v>
      </c>
      <c r="F47" s="68" t="s">
        <v>107</v>
      </c>
      <c r="G47" s="63"/>
      <c r="H47" s="196"/>
      <c r="I47" s="196"/>
      <c r="J47" s="73"/>
      <c r="K47" s="73"/>
      <c r="L47" s="191"/>
      <c r="M47" s="191"/>
      <c r="N47" s="78"/>
      <c r="O47" s="78"/>
      <c r="P47" s="78"/>
      <c r="Q47" s="78"/>
      <c r="R47" s="78"/>
      <c r="S47" s="78"/>
    </row>
    <row r="48" spans="3:23" x14ac:dyDescent="0.2">
      <c r="C48" s="54" t="s">
        <v>131</v>
      </c>
      <c r="D48" s="147" t="s">
        <v>116</v>
      </c>
      <c r="E48" s="21" t="s">
        <v>101</v>
      </c>
      <c r="F48" s="68" t="s">
        <v>107</v>
      </c>
      <c r="G48" s="63"/>
      <c r="H48" s="196"/>
      <c r="I48" s="196"/>
      <c r="J48" s="73"/>
      <c r="K48" s="73"/>
      <c r="L48" s="191"/>
      <c r="M48" s="191"/>
      <c r="N48" s="78"/>
      <c r="O48" s="78"/>
      <c r="P48" s="78"/>
      <c r="Q48" s="78"/>
      <c r="R48" s="78"/>
      <c r="S48" s="78"/>
    </row>
    <row r="49" spans="3:19" x14ac:dyDescent="0.2">
      <c r="C49" s="54" t="s">
        <v>132</v>
      </c>
      <c r="D49" s="147" t="s">
        <v>116</v>
      </c>
      <c r="E49" s="21" t="s">
        <v>101</v>
      </c>
      <c r="F49" s="68" t="s">
        <v>107</v>
      </c>
      <c r="G49" s="63"/>
      <c r="H49" s="196"/>
      <c r="I49" s="196"/>
      <c r="J49" s="73"/>
      <c r="K49" s="73"/>
      <c r="L49" s="191"/>
      <c r="M49" s="191"/>
      <c r="N49" s="78"/>
      <c r="O49" s="78"/>
      <c r="P49" s="78"/>
      <c r="Q49" s="78"/>
      <c r="R49" s="78"/>
      <c r="S49" s="78"/>
    </row>
    <row r="50" spans="3:19" x14ac:dyDescent="0.2">
      <c r="C50" s="54" t="s">
        <v>133</v>
      </c>
      <c r="D50" s="147" t="s">
        <v>116</v>
      </c>
      <c r="E50" s="21" t="s">
        <v>101</v>
      </c>
      <c r="F50" s="68" t="s">
        <v>107</v>
      </c>
      <c r="G50" s="63"/>
      <c r="H50" s="196"/>
      <c r="I50" s="196"/>
      <c r="J50" s="73"/>
      <c r="K50" s="73"/>
      <c r="L50" s="191"/>
      <c r="M50" s="191"/>
      <c r="N50" s="78"/>
      <c r="O50" s="78"/>
      <c r="P50" s="78"/>
      <c r="Q50" s="78"/>
      <c r="R50" s="78"/>
      <c r="S50" s="78"/>
    </row>
    <row r="51" spans="3:19" x14ac:dyDescent="0.2">
      <c r="C51" s="54" t="s">
        <v>134</v>
      </c>
      <c r="D51" s="147" t="s">
        <v>116</v>
      </c>
      <c r="E51" s="21" t="s">
        <v>101</v>
      </c>
      <c r="F51" s="68" t="s">
        <v>107</v>
      </c>
      <c r="G51" s="63"/>
      <c r="H51" s="196"/>
      <c r="I51" s="196"/>
      <c r="J51" s="73"/>
      <c r="K51" s="73"/>
      <c r="L51" s="191"/>
      <c r="M51" s="191"/>
      <c r="N51" s="78"/>
      <c r="O51" s="78"/>
      <c r="P51" s="78"/>
      <c r="Q51" s="78"/>
      <c r="R51" s="78"/>
      <c r="S51" s="78"/>
    </row>
    <row r="52" spans="3:19" x14ac:dyDescent="0.2">
      <c r="C52" s="54" t="s">
        <v>135</v>
      </c>
      <c r="D52" s="147" t="s">
        <v>116</v>
      </c>
      <c r="E52" s="21" t="s">
        <v>101</v>
      </c>
      <c r="F52" s="68" t="s">
        <v>107</v>
      </c>
      <c r="G52" s="63"/>
      <c r="H52" s="63"/>
      <c r="I52" s="63"/>
      <c r="J52" s="73"/>
      <c r="K52" s="73"/>
      <c r="L52" s="192"/>
      <c r="M52" s="192"/>
      <c r="N52" s="73"/>
      <c r="O52" s="78"/>
      <c r="P52" s="78"/>
      <c r="Q52" s="78"/>
      <c r="R52" s="78"/>
      <c r="S52" s="78"/>
    </row>
    <row r="53" spans="3:19" ht="10.5" x14ac:dyDescent="0.25">
      <c r="C53" s="106" t="s">
        <v>136</v>
      </c>
      <c r="D53" s="21" t="s">
        <v>70</v>
      </c>
      <c r="E53" s="21" t="s">
        <v>101</v>
      </c>
      <c r="F53" s="108" t="str">
        <f>F52</f>
        <v>nominal</v>
      </c>
      <c r="G53" s="63"/>
      <c r="H53" s="63"/>
      <c r="I53" s="63"/>
      <c r="J53" s="73"/>
      <c r="K53" s="73"/>
      <c r="L53" s="109">
        <v>14787172</v>
      </c>
      <c r="M53" s="109">
        <v>18391450</v>
      </c>
      <c r="N53" s="73"/>
      <c r="O53" s="78"/>
      <c r="P53" s="78"/>
      <c r="Q53" s="78"/>
      <c r="R53" s="78"/>
      <c r="S53" s="78"/>
    </row>
    <row r="54" spans="3:19" x14ac:dyDescent="0.2">
      <c r="D54" s="63"/>
      <c r="E54" s="63"/>
      <c r="F54" s="108"/>
      <c r="G54" s="63"/>
      <c r="H54" s="63"/>
      <c r="I54" s="63"/>
      <c r="J54" s="73"/>
      <c r="K54" s="73"/>
      <c r="L54" s="73"/>
      <c r="M54" s="73"/>
      <c r="N54" s="73"/>
      <c r="O54" s="78"/>
      <c r="P54" s="78"/>
      <c r="Q54" s="78"/>
      <c r="R54" s="78"/>
      <c r="S54" s="78"/>
    </row>
    <row r="55" spans="3:19" ht="10.5" x14ac:dyDescent="0.25">
      <c r="C55" s="29" t="s">
        <v>137</v>
      </c>
      <c r="D55" s="23" t="s">
        <v>45</v>
      </c>
      <c r="E55" s="23" t="s">
        <v>72</v>
      </c>
      <c r="F55" s="23"/>
      <c r="G55" s="63"/>
      <c r="H55" s="63"/>
      <c r="I55" s="63"/>
      <c r="J55" s="73"/>
      <c r="K55" s="73"/>
      <c r="L55" s="73"/>
      <c r="M55" s="73"/>
      <c r="N55" s="73"/>
      <c r="O55" s="78"/>
      <c r="P55" s="78"/>
      <c r="Q55" s="78"/>
      <c r="R55" s="78"/>
      <c r="S55" s="78"/>
    </row>
    <row r="56" spans="3:19" x14ac:dyDescent="0.2">
      <c r="C56" s="54" t="s">
        <v>115</v>
      </c>
      <c r="D56" s="147" t="s">
        <v>116</v>
      </c>
      <c r="E56" s="21" t="s">
        <v>82</v>
      </c>
      <c r="F56" s="108"/>
      <c r="G56" s="63"/>
      <c r="H56" s="63"/>
      <c r="I56" s="63"/>
      <c r="J56" s="73"/>
      <c r="K56" s="73"/>
      <c r="L56" s="73"/>
      <c r="M56" s="73"/>
      <c r="N56" s="122">
        <v>0.10132864324808391</v>
      </c>
      <c r="O56" s="122">
        <v>0.1</v>
      </c>
      <c r="P56" s="122">
        <v>7.4999999999999997E-2</v>
      </c>
      <c r="Q56" s="122">
        <v>0.05</v>
      </c>
      <c r="R56" s="122">
        <v>0.03</v>
      </c>
      <c r="S56" s="122">
        <v>0</v>
      </c>
    </row>
    <row r="57" spans="3:19" x14ac:dyDescent="0.2">
      <c r="C57" s="54" t="s">
        <v>117</v>
      </c>
      <c r="D57" s="147" t="s">
        <v>116</v>
      </c>
      <c r="E57" s="21" t="s">
        <v>82</v>
      </c>
      <c r="F57" s="108"/>
      <c r="G57" s="63"/>
      <c r="H57" s="63"/>
      <c r="I57" s="63"/>
      <c r="J57" s="73"/>
      <c r="K57" s="73"/>
      <c r="L57" s="73"/>
      <c r="M57" s="73"/>
      <c r="N57" s="122">
        <v>-0.05</v>
      </c>
      <c r="O57" s="122">
        <v>-0.05</v>
      </c>
      <c r="P57" s="122">
        <v>-2.5000000000000001E-2</v>
      </c>
      <c r="Q57" s="122">
        <v>0</v>
      </c>
      <c r="R57" s="122">
        <v>0</v>
      </c>
      <c r="S57" s="122">
        <v>0</v>
      </c>
    </row>
    <row r="58" spans="3:19" x14ac:dyDescent="0.2">
      <c r="C58" s="54" t="s">
        <v>118</v>
      </c>
      <c r="D58" s="147" t="s">
        <v>116</v>
      </c>
      <c r="E58" s="21" t="s">
        <v>82</v>
      </c>
      <c r="F58" s="108"/>
      <c r="G58" s="63"/>
      <c r="H58" s="63"/>
      <c r="I58" s="63"/>
      <c r="J58" s="73"/>
      <c r="K58" s="73"/>
      <c r="L58" s="73"/>
      <c r="M58" s="73"/>
      <c r="N58" s="122">
        <v>0.05</v>
      </c>
      <c r="O58" s="122">
        <v>2.5000000000000001E-2</v>
      </c>
      <c r="P58" s="122">
        <v>2.5000000000000001E-2</v>
      </c>
      <c r="Q58" s="122">
        <v>-2.5000000000000001E-2</v>
      </c>
      <c r="R58" s="122">
        <v>-2.5000000000000001E-2</v>
      </c>
      <c r="S58" s="122">
        <v>-0.05</v>
      </c>
    </row>
    <row r="59" spans="3:19" x14ac:dyDescent="0.2">
      <c r="C59" s="54" t="s">
        <v>119</v>
      </c>
      <c r="D59" s="147" t="s">
        <v>116</v>
      </c>
      <c r="E59" s="21" t="s">
        <v>82</v>
      </c>
      <c r="F59" s="108"/>
      <c r="G59" s="63"/>
      <c r="H59" s="63"/>
      <c r="I59" s="63"/>
      <c r="J59" s="73"/>
      <c r="K59" s="73"/>
      <c r="L59" s="73"/>
      <c r="M59" s="73"/>
      <c r="N59" s="122">
        <v>0.1</v>
      </c>
      <c r="O59" s="122">
        <v>0.05</v>
      </c>
      <c r="P59" s="122">
        <v>0.05</v>
      </c>
      <c r="Q59" s="122">
        <v>0.05</v>
      </c>
      <c r="R59" s="122">
        <v>0.05</v>
      </c>
      <c r="S59" s="122">
        <v>0.05</v>
      </c>
    </row>
    <row r="60" spans="3:19" x14ac:dyDescent="0.2">
      <c r="C60" s="54" t="s">
        <v>120</v>
      </c>
      <c r="D60" s="147" t="s">
        <v>116</v>
      </c>
      <c r="E60" s="21" t="s">
        <v>82</v>
      </c>
      <c r="F60" s="108"/>
      <c r="G60" s="63"/>
      <c r="H60" s="63"/>
      <c r="I60" s="63"/>
      <c r="J60" s="73"/>
      <c r="K60" s="73"/>
      <c r="L60" s="73"/>
      <c r="M60" s="73"/>
      <c r="N60" s="122"/>
      <c r="O60" s="122"/>
      <c r="P60" s="122"/>
      <c r="Q60" s="122"/>
      <c r="R60" s="122"/>
      <c r="S60" s="122"/>
    </row>
    <row r="61" spans="3:19" x14ac:dyDescent="0.2">
      <c r="C61" s="54" t="s">
        <v>122</v>
      </c>
      <c r="D61" s="147" t="s">
        <v>116</v>
      </c>
      <c r="E61" s="21" t="s">
        <v>82</v>
      </c>
      <c r="F61" s="108"/>
      <c r="G61" s="63"/>
      <c r="H61" s="63"/>
      <c r="I61" s="63"/>
      <c r="J61" s="73"/>
      <c r="K61" s="73"/>
      <c r="L61" s="73"/>
      <c r="M61" s="73"/>
      <c r="N61" s="122">
        <v>0.1</v>
      </c>
      <c r="O61" s="122">
        <v>0.1</v>
      </c>
      <c r="P61" s="122">
        <v>0.05</v>
      </c>
      <c r="Q61" s="122">
        <v>0.05</v>
      </c>
      <c r="R61" s="122">
        <v>0.05</v>
      </c>
      <c r="S61" s="122">
        <v>0.05</v>
      </c>
    </row>
    <row r="62" spans="3:19" x14ac:dyDescent="0.2">
      <c r="C62" s="54" t="s">
        <v>123</v>
      </c>
      <c r="D62" s="147" t="s">
        <v>116</v>
      </c>
      <c r="E62" s="21" t="s">
        <v>82</v>
      </c>
      <c r="F62" s="108"/>
      <c r="G62" s="63"/>
      <c r="H62" s="63"/>
      <c r="I62" s="63"/>
      <c r="J62" s="73"/>
      <c r="K62" s="73"/>
      <c r="L62" s="73"/>
      <c r="M62" s="73"/>
      <c r="N62" s="122"/>
      <c r="O62" s="122"/>
      <c r="P62" s="122"/>
      <c r="Q62" s="122"/>
      <c r="R62" s="122"/>
      <c r="S62" s="122"/>
    </row>
    <row r="63" spans="3:19" x14ac:dyDescent="0.2">
      <c r="C63" s="54" t="s">
        <v>124</v>
      </c>
      <c r="D63" s="147" t="s">
        <v>116</v>
      </c>
      <c r="E63" s="21" t="s">
        <v>82</v>
      </c>
      <c r="F63" s="108"/>
      <c r="G63" s="63"/>
      <c r="H63" s="63"/>
      <c r="I63" s="63"/>
      <c r="J63" s="73"/>
      <c r="K63" s="73"/>
      <c r="L63" s="73"/>
      <c r="M63" s="73"/>
      <c r="N63" s="122"/>
      <c r="O63" s="122"/>
      <c r="P63" s="122"/>
      <c r="Q63" s="122"/>
      <c r="R63" s="122"/>
      <c r="S63" s="122"/>
    </row>
    <row r="64" spans="3:19" x14ac:dyDescent="0.2">
      <c r="C64" s="54" t="s">
        <v>125</v>
      </c>
      <c r="D64" s="147" t="s">
        <v>116</v>
      </c>
      <c r="E64" s="21" t="s">
        <v>82</v>
      </c>
      <c r="F64" s="108"/>
      <c r="G64" s="63"/>
      <c r="H64" s="63"/>
      <c r="I64" s="63"/>
      <c r="J64" s="73"/>
      <c r="K64" s="73"/>
      <c r="L64" s="73"/>
      <c r="M64" s="73"/>
      <c r="N64" s="122"/>
      <c r="O64" s="122"/>
      <c r="P64" s="122"/>
      <c r="Q64" s="122"/>
      <c r="R64" s="122"/>
      <c r="S64" s="122"/>
    </row>
    <row r="65" spans="3:19" x14ac:dyDescent="0.2">
      <c r="C65" s="54" t="s">
        <v>126</v>
      </c>
      <c r="D65" s="147" t="s">
        <v>116</v>
      </c>
      <c r="E65" s="21" t="s">
        <v>82</v>
      </c>
      <c r="F65" s="108"/>
      <c r="G65" s="63"/>
      <c r="H65" s="63"/>
      <c r="I65" s="63"/>
      <c r="J65" s="73"/>
      <c r="K65" s="73"/>
      <c r="L65" s="73"/>
      <c r="M65" s="73"/>
      <c r="N65" s="122">
        <v>0.05</v>
      </c>
      <c r="O65" s="122">
        <v>0.05</v>
      </c>
      <c r="P65" s="122">
        <v>0.05</v>
      </c>
      <c r="Q65" s="122">
        <v>0.05</v>
      </c>
      <c r="R65" s="122">
        <v>0.05</v>
      </c>
      <c r="S65" s="122">
        <v>0.05</v>
      </c>
    </row>
    <row r="66" spans="3:19" x14ac:dyDescent="0.2">
      <c r="C66" s="54" t="s">
        <v>127</v>
      </c>
      <c r="D66" s="147" t="s">
        <v>116</v>
      </c>
      <c r="E66" s="21" t="s">
        <v>82</v>
      </c>
      <c r="F66" s="108"/>
      <c r="G66" s="63"/>
      <c r="H66" s="63"/>
      <c r="I66" s="63"/>
      <c r="J66" s="73"/>
      <c r="K66" s="73"/>
      <c r="L66" s="73"/>
      <c r="M66" s="73"/>
      <c r="N66" s="122">
        <v>0.05</v>
      </c>
      <c r="O66" s="122">
        <v>0.05</v>
      </c>
      <c r="P66" s="122">
        <v>2.5000000000000001E-2</v>
      </c>
      <c r="Q66" s="122">
        <v>2.5000000000000001E-2</v>
      </c>
      <c r="R66" s="122">
        <v>2.5000000000000001E-2</v>
      </c>
      <c r="S66" s="122">
        <v>2.5000000000000001E-2</v>
      </c>
    </row>
    <row r="67" spans="3:19" x14ac:dyDescent="0.2">
      <c r="C67" s="54" t="s">
        <v>128</v>
      </c>
      <c r="D67" s="147" t="s">
        <v>116</v>
      </c>
      <c r="E67" s="21" t="s">
        <v>82</v>
      </c>
      <c r="F67" s="108"/>
      <c r="G67" s="63"/>
      <c r="H67" s="63"/>
      <c r="I67" s="63"/>
      <c r="J67" s="73"/>
      <c r="K67" s="73"/>
      <c r="L67" s="73"/>
      <c r="M67" s="73"/>
      <c r="N67" s="122">
        <v>0.2</v>
      </c>
      <c r="O67" s="122">
        <v>0.1</v>
      </c>
      <c r="P67" s="122">
        <v>0.05</v>
      </c>
      <c r="Q67" s="122">
        <v>0</v>
      </c>
      <c r="R67" s="122">
        <v>0</v>
      </c>
      <c r="S67" s="122">
        <v>0</v>
      </c>
    </row>
    <row r="68" spans="3:19" x14ac:dyDescent="0.2">
      <c r="C68" s="54" t="s">
        <v>129</v>
      </c>
      <c r="D68" s="147" t="s">
        <v>116</v>
      </c>
      <c r="E68" s="21" t="s">
        <v>82</v>
      </c>
      <c r="F68" s="108"/>
      <c r="G68" s="63"/>
      <c r="H68" s="63"/>
      <c r="I68" s="63"/>
      <c r="J68" s="73"/>
      <c r="K68" s="73"/>
      <c r="L68" s="73"/>
      <c r="M68" s="73"/>
      <c r="N68" s="122">
        <v>0.05</v>
      </c>
      <c r="O68" s="122">
        <v>2.5000000000000001E-2</v>
      </c>
      <c r="P68" s="122">
        <v>2.5000000000000001E-2</v>
      </c>
      <c r="Q68" s="122">
        <v>2.5000000000000001E-2</v>
      </c>
      <c r="R68" s="122">
        <v>2.5000000000000001E-2</v>
      </c>
      <c r="S68" s="122">
        <v>2.5000000000000001E-2</v>
      </c>
    </row>
    <row r="69" spans="3:19" x14ac:dyDescent="0.2">
      <c r="C69" s="54" t="s">
        <v>130</v>
      </c>
      <c r="D69" s="147" t="s">
        <v>116</v>
      </c>
      <c r="E69" s="21" t="s">
        <v>82</v>
      </c>
      <c r="F69" s="108"/>
      <c r="G69" s="63"/>
      <c r="H69" s="63"/>
      <c r="I69" s="63"/>
      <c r="J69" s="73"/>
      <c r="K69" s="73"/>
      <c r="L69" s="73"/>
      <c r="M69" s="73"/>
      <c r="N69" s="122">
        <v>0.05</v>
      </c>
      <c r="O69" s="122">
        <v>0.05</v>
      </c>
      <c r="P69" s="122">
        <v>0.05</v>
      </c>
      <c r="Q69" s="122">
        <v>0.05</v>
      </c>
      <c r="R69" s="122">
        <v>0.05</v>
      </c>
      <c r="S69" s="122">
        <v>0.05</v>
      </c>
    </row>
    <row r="70" spans="3:19" x14ac:dyDescent="0.2">
      <c r="C70" s="54" t="s">
        <v>131</v>
      </c>
      <c r="D70" s="147" t="s">
        <v>116</v>
      </c>
      <c r="E70" s="21" t="s">
        <v>82</v>
      </c>
      <c r="F70" s="108"/>
      <c r="G70" s="63"/>
      <c r="H70" s="63"/>
      <c r="I70" s="63"/>
      <c r="J70" s="73"/>
      <c r="K70" s="73"/>
      <c r="L70" s="73"/>
      <c r="M70" s="73"/>
      <c r="N70" s="122">
        <v>0.05</v>
      </c>
      <c r="O70" s="122">
        <v>0.05</v>
      </c>
      <c r="P70" s="122">
        <v>0.05</v>
      </c>
      <c r="Q70" s="122">
        <v>0.05</v>
      </c>
      <c r="R70" s="122">
        <v>0.05</v>
      </c>
      <c r="S70" s="122">
        <v>0.05</v>
      </c>
    </row>
    <row r="71" spans="3:19" x14ac:dyDescent="0.2">
      <c r="C71" s="54" t="s">
        <v>132</v>
      </c>
      <c r="D71" s="147" t="s">
        <v>116</v>
      </c>
      <c r="E71" s="21" t="s">
        <v>82</v>
      </c>
      <c r="F71" s="108"/>
      <c r="G71" s="63"/>
      <c r="H71" s="63"/>
      <c r="I71" s="63"/>
      <c r="J71" s="73"/>
      <c r="K71" s="73"/>
      <c r="L71" s="73"/>
      <c r="M71" s="73"/>
      <c r="N71" s="122">
        <v>0.05</v>
      </c>
      <c r="O71" s="122">
        <v>0.05</v>
      </c>
      <c r="P71" s="122">
        <v>0.05</v>
      </c>
      <c r="Q71" s="122">
        <v>0.05</v>
      </c>
      <c r="R71" s="122">
        <v>0.05</v>
      </c>
      <c r="S71" s="122">
        <v>0.05</v>
      </c>
    </row>
    <row r="72" spans="3:19" x14ac:dyDescent="0.2">
      <c r="C72" s="54" t="s">
        <v>133</v>
      </c>
      <c r="D72" s="147" t="s">
        <v>116</v>
      </c>
      <c r="E72" s="21" t="s">
        <v>82</v>
      </c>
      <c r="F72" s="108"/>
      <c r="G72" s="63"/>
      <c r="H72" s="63"/>
      <c r="I72" s="63"/>
      <c r="J72" s="73"/>
      <c r="K72" s="73"/>
      <c r="L72" s="73"/>
      <c r="M72" s="73"/>
      <c r="N72" s="122">
        <v>0.05</v>
      </c>
      <c r="O72" s="122">
        <v>0.05</v>
      </c>
      <c r="P72" s="122">
        <v>0.05</v>
      </c>
      <c r="Q72" s="122">
        <v>0.05</v>
      </c>
      <c r="R72" s="122">
        <v>0.05</v>
      </c>
      <c r="S72" s="122">
        <v>0.05</v>
      </c>
    </row>
    <row r="73" spans="3:19" x14ac:dyDescent="0.2">
      <c r="C73" s="54" t="s">
        <v>134</v>
      </c>
      <c r="D73" s="147" t="s">
        <v>116</v>
      </c>
      <c r="E73" s="21" t="s">
        <v>82</v>
      </c>
      <c r="F73" s="108"/>
      <c r="G73" s="63"/>
      <c r="H73" s="63"/>
      <c r="I73" s="63"/>
      <c r="J73" s="73"/>
      <c r="K73" s="73"/>
      <c r="L73" s="73"/>
      <c r="M73" s="73"/>
      <c r="N73" s="122">
        <v>1.1541064743332135</v>
      </c>
      <c r="O73" s="122">
        <v>0.3</v>
      </c>
      <c r="P73" s="122">
        <v>0.25</v>
      </c>
      <c r="Q73" s="122">
        <v>0.2</v>
      </c>
      <c r="R73" s="122">
        <v>0.15</v>
      </c>
      <c r="S73" s="122">
        <v>0.1</v>
      </c>
    </row>
    <row r="74" spans="3:19" x14ac:dyDescent="0.2">
      <c r="D74" s="63"/>
      <c r="E74" s="63"/>
      <c r="F74" s="108"/>
      <c r="G74" s="63"/>
      <c r="H74" s="63"/>
      <c r="I74" s="63"/>
      <c r="J74" s="73"/>
      <c r="K74" s="73"/>
      <c r="L74" s="73"/>
      <c r="M74" s="73"/>
      <c r="N74" s="73"/>
      <c r="O74" s="78"/>
      <c r="P74" s="78"/>
      <c r="Q74" s="78"/>
      <c r="R74" s="78"/>
      <c r="S74" s="78"/>
    </row>
    <row r="75" spans="3:19" ht="10.5" x14ac:dyDescent="0.25">
      <c r="C75" s="29" t="s">
        <v>138</v>
      </c>
      <c r="D75" s="63"/>
      <c r="E75" s="63"/>
      <c r="F75" s="108"/>
      <c r="G75" s="63"/>
      <c r="H75" s="63"/>
      <c r="I75" s="63"/>
      <c r="J75" s="73"/>
      <c r="K75" s="73"/>
      <c r="L75" s="73"/>
      <c r="M75" s="73"/>
      <c r="N75" s="73"/>
      <c r="O75" s="78"/>
      <c r="P75" s="78"/>
      <c r="Q75" s="78"/>
      <c r="R75" s="78"/>
      <c r="S75" s="78"/>
    </row>
    <row r="76" spans="3:19" x14ac:dyDescent="0.2">
      <c r="C76" s="54" t="s">
        <v>139</v>
      </c>
      <c r="D76" s="147" t="s">
        <v>116</v>
      </c>
      <c r="E76" s="21" t="s">
        <v>82</v>
      </c>
      <c r="F76" s="108"/>
      <c r="G76" s="63"/>
      <c r="H76" s="63"/>
      <c r="I76" s="63"/>
      <c r="J76" s="73"/>
      <c r="K76" s="73"/>
      <c r="L76" s="73"/>
      <c r="M76" s="73"/>
      <c r="N76" s="124">
        <v>2.3203134565936083E-2</v>
      </c>
      <c r="O76" s="124">
        <v>3.8832046909591335E-2</v>
      </c>
      <c r="P76" s="124">
        <v>2.3902776177859693E-2</v>
      </c>
      <c r="Q76" s="124">
        <v>2.8857512516172582E-2</v>
      </c>
      <c r="R76" s="124">
        <v>2.4166211044286495E-2</v>
      </c>
      <c r="S76" s="124">
        <v>2.0019218449711725E-2</v>
      </c>
    </row>
    <row r="77" spans="3:19" ht="10.5" x14ac:dyDescent="0.25">
      <c r="C77" s="54" t="s">
        <v>140</v>
      </c>
      <c r="D77" s="127" t="s">
        <v>141</v>
      </c>
      <c r="G77" s="63"/>
      <c r="H77" s="63"/>
      <c r="I77" s="63"/>
      <c r="K77" s="73"/>
      <c r="L77" s="73"/>
      <c r="M77" s="73"/>
      <c r="N77" s="73"/>
      <c r="O77" s="73"/>
      <c r="P77" s="73"/>
      <c r="Q77" s="73"/>
      <c r="R77" s="73"/>
      <c r="S77" s="73"/>
    </row>
    <row r="78" spans="3:19" ht="10.5" x14ac:dyDescent="0.25">
      <c r="C78" s="54" t="s">
        <v>142</v>
      </c>
      <c r="D78" s="21" t="s">
        <v>70</v>
      </c>
      <c r="E78" s="21" t="s">
        <v>82</v>
      </c>
      <c r="F78" s="108"/>
      <c r="G78" s="63"/>
      <c r="H78" s="63"/>
      <c r="I78" s="63"/>
      <c r="J78" s="73"/>
      <c r="K78" s="73"/>
      <c r="L78" s="73"/>
      <c r="M78" s="73"/>
      <c r="N78" s="125">
        <f t="shared" ref="N78:S78" si="4">IF($D$77="No",0,1)*N76</f>
        <v>0</v>
      </c>
      <c r="O78" s="125">
        <f t="shared" si="4"/>
        <v>0</v>
      </c>
      <c r="P78" s="125">
        <f t="shared" si="4"/>
        <v>0</v>
      </c>
      <c r="Q78" s="125">
        <f t="shared" si="4"/>
        <v>0</v>
      </c>
      <c r="R78" s="125">
        <f t="shared" si="4"/>
        <v>0</v>
      </c>
      <c r="S78" s="125">
        <f t="shared" si="4"/>
        <v>0</v>
      </c>
    </row>
    <row r="79" spans="3:19" x14ac:dyDescent="0.2">
      <c r="D79" s="63"/>
      <c r="E79" s="63"/>
      <c r="F79" s="108"/>
      <c r="G79" s="63"/>
      <c r="H79" s="63"/>
      <c r="I79" s="63"/>
      <c r="J79" s="73"/>
      <c r="K79" s="73"/>
      <c r="L79" s="73"/>
      <c r="M79" s="73"/>
      <c r="N79" s="73"/>
      <c r="O79" s="78"/>
      <c r="P79" s="78"/>
      <c r="Q79" s="78"/>
      <c r="R79" s="78"/>
      <c r="S79" s="78"/>
    </row>
    <row r="80" spans="3:19" ht="10.5" x14ac:dyDescent="0.25">
      <c r="C80" s="29" t="s">
        <v>143</v>
      </c>
      <c r="D80" s="23" t="s">
        <v>45</v>
      </c>
      <c r="E80" s="23" t="s">
        <v>72</v>
      </c>
      <c r="F80" s="23" t="s">
        <v>78</v>
      </c>
      <c r="G80" s="63"/>
      <c r="H80" s="63"/>
      <c r="I80" s="63"/>
      <c r="L80" s="154">
        <f t="shared" ref="L80:S80" si="5">IF(YEAR(L$4)&lt;=PPLastYear,L$4,IF(YEAR(L$4)&gt;=FPFirstYear,IF(YEAR(L$4)&lt;=FPLastYear,L$4,""),""))</f>
        <v>44713</v>
      </c>
      <c r="M80" s="154">
        <f t="shared" si="5"/>
        <v>45078</v>
      </c>
      <c r="N80" s="154">
        <f t="shared" si="5"/>
        <v>45444</v>
      </c>
      <c r="O80" s="154">
        <f t="shared" si="5"/>
        <v>45809</v>
      </c>
      <c r="P80" s="154">
        <f t="shared" si="5"/>
        <v>46174</v>
      </c>
      <c r="Q80" s="154">
        <f t="shared" si="5"/>
        <v>46539</v>
      </c>
      <c r="R80" s="154">
        <f t="shared" si="5"/>
        <v>46905</v>
      </c>
      <c r="S80" s="154">
        <f t="shared" si="5"/>
        <v>47270</v>
      </c>
    </row>
    <row r="81" spans="3:19" x14ac:dyDescent="0.2">
      <c r="C81" s="54" t="s">
        <v>115</v>
      </c>
      <c r="D81" s="21" t="s">
        <v>70</v>
      </c>
      <c r="E81" s="21" t="s">
        <v>101</v>
      </c>
      <c r="F81" s="108" t="str">
        <f t="shared" ref="F81:F100" si="6">F34</f>
        <v>nominal</v>
      </c>
      <c r="G81" s="63"/>
      <c r="H81" s="63"/>
      <c r="I81" s="63"/>
      <c r="L81" s="191"/>
      <c r="M81" s="191"/>
      <c r="N81" s="191"/>
      <c r="O81" s="191"/>
      <c r="P81" s="191"/>
      <c r="Q81" s="191"/>
      <c r="R81" s="191"/>
      <c r="S81" s="191"/>
    </row>
    <row r="82" spans="3:19" x14ac:dyDescent="0.2">
      <c r="C82" s="54" t="s">
        <v>117</v>
      </c>
      <c r="D82" s="21" t="s">
        <v>70</v>
      </c>
      <c r="E82" s="21" t="s">
        <v>101</v>
      </c>
      <c r="F82" s="108" t="str">
        <f t="shared" si="6"/>
        <v>nominal</v>
      </c>
      <c r="G82" s="63"/>
      <c r="H82" s="63"/>
      <c r="I82" s="63"/>
      <c r="L82" s="191"/>
      <c r="M82" s="191"/>
      <c r="N82" s="191"/>
      <c r="O82" s="191"/>
      <c r="P82" s="191"/>
      <c r="Q82" s="191"/>
      <c r="R82" s="191"/>
      <c r="S82" s="191"/>
    </row>
    <row r="83" spans="3:19" x14ac:dyDescent="0.2">
      <c r="C83" s="54" t="s">
        <v>118</v>
      </c>
      <c r="D83" s="21" t="s">
        <v>70</v>
      </c>
      <c r="E83" s="21" t="s">
        <v>101</v>
      </c>
      <c r="F83" s="108" t="str">
        <f t="shared" si="6"/>
        <v>nominal</v>
      </c>
      <c r="G83" s="63"/>
      <c r="H83" s="63"/>
      <c r="I83" s="63"/>
      <c r="L83" s="191"/>
      <c r="M83" s="191"/>
      <c r="N83" s="191"/>
      <c r="O83" s="191"/>
      <c r="P83" s="191"/>
      <c r="Q83" s="191"/>
      <c r="R83" s="191"/>
      <c r="S83" s="191"/>
    </row>
    <row r="84" spans="3:19" x14ac:dyDescent="0.2">
      <c r="C84" s="54" t="s">
        <v>119</v>
      </c>
      <c r="D84" s="21" t="s">
        <v>70</v>
      </c>
      <c r="E84" s="21" t="s">
        <v>101</v>
      </c>
      <c r="F84" s="108" t="str">
        <f t="shared" si="6"/>
        <v>nominal</v>
      </c>
      <c r="G84" s="63"/>
      <c r="H84" s="63"/>
      <c r="I84" s="63"/>
      <c r="L84" s="191"/>
      <c r="M84" s="191"/>
      <c r="N84" s="191"/>
      <c r="O84" s="191"/>
      <c r="P84" s="191"/>
      <c r="Q84" s="191"/>
      <c r="R84" s="191"/>
      <c r="S84" s="191"/>
    </row>
    <row r="85" spans="3:19" x14ac:dyDescent="0.2">
      <c r="C85" s="54" t="s">
        <v>120</v>
      </c>
      <c r="D85" s="21" t="s">
        <v>70</v>
      </c>
      <c r="E85" s="21" t="s">
        <v>101</v>
      </c>
      <c r="F85" s="108" t="str">
        <f t="shared" si="6"/>
        <v>nominal</v>
      </c>
      <c r="G85" s="63"/>
      <c r="H85" s="63"/>
      <c r="I85" s="63"/>
      <c r="L85" s="123">
        <f t="shared" ref="L85:S89" si="7">IF(ISBLANK(L38),K85*(1+L60),L38)</f>
        <v>0</v>
      </c>
      <c r="M85" s="123">
        <f t="shared" si="7"/>
        <v>0</v>
      </c>
      <c r="N85" s="123">
        <f t="shared" si="7"/>
        <v>0</v>
      </c>
      <c r="O85" s="123">
        <f t="shared" si="7"/>
        <v>0</v>
      </c>
      <c r="P85" s="123">
        <f t="shared" si="7"/>
        <v>0</v>
      </c>
      <c r="Q85" s="123">
        <f t="shared" si="7"/>
        <v>0</v>
      </c>
      <c r="R85" s="123">
        <f t="shared" si="7"/>
        <v>0</v>
      </c>
      <c r="S85" s="123">
        <f t="shared" si="7"/>
        <v>0</v>
      </c>
    </row>
    <row r="86" spans="3:19" x14ac:dyDescent="0.2">
      <c r="C86" s="54" t="s">
        <v>122</v>
      </c>
      <c r="D86" s="21" t="s">
        <v>70</v>
      </c>
      <c r="E86" s="21" t="s">
        <v>101</v>
      </c>
      <c r="F86" s="108" t="str">
        <f t="shared" si="6"/>
        <v>nominal</v>
      </c>
      <c r="G86" s="63"/>
      <c r="H86" s="63"/>
      <c r="I86" s="63"/>
      <c r="L86" s="191"/>
      <c r="M86" s="191"/>
      <c r="N86" s="191"/>
      <c r="O86" s="191"/>
      <c r="P86" s="191"/>
      <c r="Q86" s="191"/>
      <c r="R86" s="191"/>
      <c r="S86" s="191"/>
    </row>
    <row r="87" spans="3:19" x14ac:dyDescent="0.2">
      <c r="C87" s="54" t="s">
        <v>123</v>
      </c>
      <c r="D87" s="21" t="s">
        <v>70</v>
      </c>
      <c r="E87" s="21" t="s">
        <v>101</v>
      </c>
      <c r="F87" s="108" t="str">
        <f t="shared" si="6"/>
        <v>nominal</v>
      </c>
      <c r="G87" s="63"/>
      <c r="H87" s="63"/>
      <c r="I87" s="63"/>
      <c r="L87" s="123">
        <f t="shared" si="7"/>
        <v>0</v>
      </c>
      <c r="M87" s="123">
        <f t="shared" si="7"/>
        <v>0</v>
      </c>
      <c r="N87" s="123">
        <f t="shared" si="7"/>
        <v>0</v>
      </c>
      <c r="O87" s="123">
        <f t="shared" si="7"/>
        <v>0</v>
      </c>
      <c r="P87" s="123">
        <f t="shared" si="7"/>
        <v>0</v>
      </c>
      <c r="Q87" s="123">
        <f t="shared" si="7"/>
        <v>0</v>
      </c>
      <c r="R87" s="123">
        <f t="shared" si="7"/>
        <v>0</v>
      </c>
      <c r="S87" s="123">
        <f t="shared" si="7"/>
        <v>0</v>
      </c>
    </row>
    <row r="88" spans="3:19" x14ac:dyDescent="0.2">
      <c r="C88" s="54" t="s">
        <v>124</v>
      </c>
      <c r="D88" s="21" t="s">
        <v>70</v>
      </c>
      <c r="E88" s="21" t="s">
        <v>101</v>
      </c>
      <c r="F88" s="108" t="str">
        <f t="shared" si="6"/>
        <v>nominal</v>
      </c>
      <c r="G88" s="63"/>
      <c r="H88" s="63"/>
      <c r="I88" s="63"/>
      <c r="L88" s="123">
        <f t="shared" si="7"/>
        <v>0</v>
      </c>
      <c r="M88" s="123">
        <f t="shared" si="7"/>
        <v>0</v>
      </c>
      <c r="N88" s="123">
        <f t="shared" si="7"/>
        <v>0</v>
      </c>
      <c r="O88" s="123">
        <f t="shared" si="7"/>
        <v>0</v>
      </c>
      <c r="P88" s="123">
        <f t="shared" si="7"/>
        <v>0</v>
      </c>
      <c r="Q88" s="123">
        <f t="shared" si="7"/>
        <v>0</v>
      </c>
      <c r="R88" s="123">
        <f t="shared" si="7"/>
        <v>0</v>
      </c>
      <c r="S88" s="123">
        <f t="shared" si="7"/>
        <v>0</v>
      </c>
    </row>
    <row r="89" spans="3:19" x14ac:dyDescent="0.2">
      <c r="C89" s="54" t="s">
        <v>125</v>
      </c>
      <c r="D89" s="21" t="s">
        <v>70</v>
      </c>
      <c r="E89" s="21" t="s">
        <v>101</v>
      </c>
      <c r="F89" s="108" t="str">
        <f t="shared" si="6"/>
        <v>nominal</v>
      </c>
      <c r="G89" s="63"/>
      <c r="H89" s="63"/>
      <c r="I89" s="63"/>
      <c r="L89" s="123">
        <f t="shared" si="7"/>
        <v>0</v>
      </c>
      <c r="M89" s="123">
        <f t="shared" si="7"/>
        <v>0</v>
      </c>
      <c r="N89" s="123">
        <f t="shared" si="7"/>
        <v>0</v>
      </c>
      <c r="O89" s="123">
        <f t="shared" si="7"/>
        <v>0</v>
      </c>
      <c r="P89" s="123">
        <f t="shared" si="7"/>
        <v>0</v>
      </c>
      <c r="Q89" s="123">
        <f t="shared" si="7"/>
        <v>0</v>
      </c>
      <c r="R89" s="123">
        <f t="shared" si="7"/>
        <v>0</v>
      </c>
      <c r="S89" s="123">
        <f t="shared" si="7"/>
        <v>0</v>
      </c>
    </row>
    <row r="90" spans="3:19" x14ac:dyDescent="0.2">
      <c r="C90" s="54" t="s">
        <v>126</v>
      </c>
      <c r="D90" s="21" t="s">
        <v>70</v>
      </c>
      <c r="E90" s="21" t="s">
        <v>101</v>
      </c>
      <c r="F90" s="108" t="str">
        <f t="shared" si="6"/>
        <v>nominal</v>
      </c>
      <c r="G90" s="63"/>
      <c r="H90" s="63"/>
      <c r="I90" s="63"/>
      <c r="L90" s="191"/>
      <c r="M90" s="191"/>
      <c r="N90" s="191"/>
      <c r="O90" s="191"/>
      <c r="P90" s="191"/>
      <c r="Q90" s="191"/>
      <c r="R90" s="191"/>
      <c r="S90" s="191"/>
    </row>
    <row r="91" spans="3:19" x14ac:dyDescent="0.2">
      <c r="C91" s="54" t="s">
        <v>127</v>
      </c>
      <c r="D91" s="21" t="s">
        <v>70</v>
      </c>
      <c r="E91" s="21" t="s">
        <v>101</v>
      </c>
      <c r="F91" s="108" t="str">
        <f t="shared" si="6"/>
        <v>nominal</v>
      </c>
      <c r="G91" s="63"/>
      <c r="H91" s="63"/>
      <c r="I91" s="63"/>
      <c r="L91" s="191"/>
      <c r="M91" s="191"/>
      <c r="N91" s="191"/>
      <c r="O91" s="191"/>
      <c r="P91" s="191"/>
      <c r="Q91" s="191"/>
      <c r="R91" s="191"/>
      <c r="S91" s="191"/>
    </row>
    <row r="92" spans="3:19" x14ac:dyDescent="0.2">
      <c r="C92" s="54" t="s">
        <v>128</v>
      </c>
      <c r="D92" s="21" t="s">
        <v>70</v>
      </c>
      <c r="E92" s="21" t="s">
        <v>101</v>
      </c>
      <c r="F92" s="108" t="str">
        <f t="shared" si="6"/>
        <v>nominal</v>
      </c>
      <c r="G92" s="63"/>
      <c r="H92" s="63"/>
      <c r="I92" s="63"/>
      <c r="L92" s="191"/>
      <c r="M92" s="191"/>
      <c r="N92" s="191"/>
      <c r="O92" s="191"/>
      <c r="P92" s="191"/>
      <c r="Q92" s="191"/>
      <c r="R92" s="191"/>
      <c r="S92" s="191"/>
    </row>
    <row r="93" spans="3:19" x14ac:dyDescent="0.2">
      <c r="C93" s="54" t="s">
        <v>129</v>
      </c>
      <c r="D93" s="21" t="s">
        <v>70</v>
      </c>
      <c r="E93" s="21" t="s">
        <v>101</v>
      </c>
      <c r="F93" s="108" t="str">
        <f t="shared" si="6"/>
        <v>nominal</v>
      </c>
      <c r="G93" s="63"/>
      <c r="H93" s="63"/>
      <c r="I93" s="63"/>
      <c r="L93" s="191"/>
      <c r="M93" s="191"/>
      <c r="N93" s="191"/>
      <c r="O93" s="191"/>
      <c r="P93" s="191"/>
      <c r="Q93" s="191"/>
      <c r="R93" s="191"/>
      <c r="S93" s="191"/>
    </row>
    <row r="94" spans="3:19" x14ac:dyDescent="0.2">
      <c r="C94" s="54" t="s">
        <v>130</v>
      </c>
      <c r="D94" s="21" t="s">
        <v>70</v>
      </c>
      <c r="E94" s="21" t="s">
        <v>101</v>
      </c>
      <c r="F94" s="108" t="str">
        <f t="shared" si="6"/>
        <v>nominal</v>
      </c>
      <c r="G94" s="63"/>
      <c r="H94" s="63"/>
      <c r="I94" s="63"/>
      <c r="L94" s="191"/>
      <c r="M94" s="191"/>
      <c r="N94" s="191"/>
      <c r="O94" s="191"/>
      <c r="P94" s="191"/>
      <c r="Q94" s="191"/>
      <c r="R94" s="191"/>
      <c r="S94" s="191"/>
    </row>
    <row r="95" spans="3:19" x14ac:dyDescent="0.2">
      <c r="C95" s="54" t="s">
        <v>131</v>
      </c>
      <c r="D95" s="21" t="s">
        <v>70</v>
      </c>
      <c r="E95" s="21" t="s">
        <v>101</v>
      </c>
      <c r="F95" s="108" t="str">
        <f t="shared" si="6"/>
        <v>nominal</v>
      </c>
      <c r="G95" s="63"/>
      <c r="H95" s="63"/>
      <c r="I95" s="63"/>
      <c r="L95" s="191"/>
      <c r="M95" s="191"/>
      <c r="N95" s="191"/>
      <c r="O95" s="191"/>
      <c r="P95" s="191"/>
      <c r="Q95" s="191"/>
      <c r="R95" s="191"/>
      <c r="S95" s="191"/>
    </row>
    <row r="96" spans="3:19" x14ac:dyDescent="0.2">
      <c r="C96" s="54" t="s">
        <v>132</v>
      </c>
      <c r="D96" s="21" t="s">
        <v>70</v>
      </c>
      <c r="E96" s="21" t="s">
        <v>101</v>
      </c>
      <c r="F96" s="108" t="str">
        <f t="shared" si="6"/>
        <v>nominal</v>
      </c>
      <c r="G96" s="63"/>
      <c r="H96" s="63"/>
      <c r="I96" s="63"/>
      <c r="L96" s="191"/>
      <c r="M96" s="191"/>
      <c r="N96" s="191"/>
      <c r="O96" s="191"/>
      <c r="P96" s="191"/>
      <c r="Q96" s="191"/>
      <c r="R96" s="191"/>
      <c r="S96" s="191"/>
    </row>
    <row r="97" spans="3:19" x14ac:dyDescent="0.2">
      <c r="C97" s="54" t="s">
        <v>133</v>
      </c>
      <c r="D97" s="21" t="s">
        <v>70</v>
      </c>
      <c r="E97" s="21" t="s">
        <v>101</v>
      </c>
      <c r="F97" s="108" t="str">
        <f t="shared" si="6"/>
        <v>nominal</v>
      </c>
      <c r="G97" s="63"/>
      <c r="H97" s="63"/>
      <c r="I97" s="63"/>
      <c r="L97" s="191"/>
      <c r="M97" s="191"/>
      <c r="N97" s="191"/>
      <c r="O97" s="191"/>
      <c r="P97" s="191"/>
      <c r="Q97" s="191"/>
      <c r="R97" s="191"/>
      <c r="S97" s="191"/>
    </row>
    <row r="98" spans="3:19" x14ac:dyDescent="0.2">
      <c r="C98" s="54" t="s">
        <v>134</v>
      </c>
      <c r="D98" s="21" t="s">
        <v>70</v>
      </c>
      <c r="E98" s="21" t="s">
        <v>101</v>
      </c>
      <c r="F98" s="108" t="str">
        <f t="shared" si="6"/>
        <v>nominal</v>
      </c>
      <c r="G98" s="63"/>
      <c r="H98" s="63"/>
      <c r="I98" s="63"/>
      <c r="L98" s="191"/>
      <c r="M98" s="191"/>
      <c r="N98" s="191"/>
      <c r="O98" s="191"/>
      <c r="P98" s="191"/>
      <c r="Q98" s="191"/>
      <c r="R98" s="191"/>
      <c r="S98" s="191"/>
    </row>
    <row r="99" spans="3:19" x14ac:dyDescent="0.2">
      <c r="C99" s="54" t="s">
        <v>135</v>
      </c>
      <c r="D99" s="147" t="s">
        <v>90</v>
      </c>
      <c r="E99" s="21" t="s">
        <v>101</v>
      </c>
      <c r="F99" s="68" t="s">
        <v>107</v>
      </c>
      <c r="G99" s="63"/>
      <c r="H99" s="63"/>
      <c r="I99" s="63"/>
      <c r="J99" s="73"/>
      <c r="K99" s="73"/>
      <c r="L99" s="192"/>
      <c r="M99" s="192"/>
      <c r="N99" s="192"/>
      <c r="O99" s="192"/>
      <c r="P99" s="192"/>
      <c r="Q99" s="192"/>
      <c r="R99" s="192"/>
      <c r="S99" s="192"/>
    </row>
    <row r="100" spans="3:19" ht="10.5" x14ac:dyDescent="0.25">
      <c r="C100" s="106" t="s">
        <v>136</v>
      </c>
      <c r="D100" s="21" t="s">
        <v>70</v>
      </c>
      <c r="E100" s="21" t="s">
        <v>101</v>
      </c>
      <c r="F100" s="108" t="str">
        <f t="shared" si="6"/>
        <v>nominal</v>
      </c>
      <c r="G100" s="63"/>
      <c r="H100" s="63"/>
      <c r="I100" s="63"/>
      <c r="L100" s="193"/>
      <c r="M100" s="193"/>
      <c r="N100" s="193"/>
      <c r="O100" s="193"/>
      <c r="P100" s="193"/>
      <c r="Q100" s="193"/>
      <c r="R100" s="193"/>
      <c r="S100" s="193"/>
    </row>
    <row r="101" spans="3:19" ht="10.5" x14ac:dyDescent="0.25">
      <c r="C101" s="106"/>
      <c r="D101" s="63"/>
      <c r="E101" s="63"/>
      <c r="F101" s="108"/>
      <c r="G101" s="63"/>
      <c r="H101" s="63"/>
      <c r="I101" s="63"/>
      <c r="L101" s="109"/>
      <c r="M101" s="109"/>
      <c r="N101" s="109"/>
      <c r="O101" s="109"/>
      <c r="P101" s="109"/>
      <c r="Q101" s="109"/>
      <c r="R101" s="109"/>
      <c r="S101" s="109"/>
    </row>
    <row r="102" spans="3:19" x14ac:dyDescent="0.2">
      <c r="D102" s="63"/>
      <c r="E102" s="63"/>
      <c r="F102" s="108"/>
      <c r="G102" s="63"/>
      <c r="H102" s="63"/>
      <c r="I102" s="199"/>
      <c r="J102" s="196"/>
      <c r="K102" s="196"/>
      <c r="L102" s="73"/>
      <c r="M102" s="73"/>
      <c r="N102" s="73"/>
      <c r="O102" s="78"/>
      <c r="P102" s="78"/>
      <c r="Q102" s="78"/>
      <c r="R102" s="78"/>
      <c r="S102" s="78"/>
    </row>
    <row r="103" spans="3:19" ht="10.5" x14ac:dyDescent="0.25">
      <c r="C103" s="29" t="s">
        <v>144</v>
      </c>
      <c r="D103" s="63"/>
      <c r="E103" s="63"/>
      <c r="F103" s="108"/>
      <c r="G103" s="63"/>
      <c r="H103" s="63"/>
      <c r="I103" s="199"/>
      <c r="J103" s="197"/>
      <c r="K103" s="197"/>
      <c r="L103" s="112"/>
      <c r="M103" s="154">
        <f t="shared" ref="M103:S103" si="8">IF(YEAR(M$4)&lt;=PPLastYear,M$4,IF(YEAR(M$4)&gt;=FPFirstYear,IF(YEAR(M$4)&lt;=FPLastYear,M$4,""),""))</f>
        <v>45078</v>
      </c>
      <c r="N103" s="154">
        <f t="shared" si="8"/>
        <v>45444</v>
      </c>
      <c r="O103" s="154">
        <f t="shared" si="8"/>
        <v>45809</v>
      </c>
      <c r="P103" s="154">
        <f t="shared" si="8"/>
        <v>46174</v>
      </c>
      <c r="Q103" s="154">
        <f t="shared" si="8"/>
        <v>46539</v>
      </c>
      <c r="R103" s="154">
        <f t="shared" si="8"/>
        <v>46905</v>
      </c>
      <c r="S103" s="154">
        <f t="shared" si="8"/>
        <v>47270</v>
      </c>
    </row>
    <row r="104" spans="3:19" x14ac:dyDescent="0.2">
      <c r="C104" s="54" t="s">
        <v>115</v>
      </c>
      <c r="D104" s="21" t="s">
        <v>70</v>
      </c>
      <c r="E104" s="70" t="str">
        <f>E81</f>
        <v>$dollars</v>
      </c>
      <c r="F104" s="108" t="str">
        <f>F81</f>
        <v>nominal</v>
      </c>
      <c r="G104" s="63"/>
      <c r="H104" s="63"/>
      <c r="I104" s="63"/>
      <c r="J104" s="198"/>
      <c r="K104" s="198"/>
      <c r="L104" s="73"/>
      <c r="M104" s="194"/>
      <c r="N104" s="194"/>
      <c r="O104" s="194"/>
      <c r="P104" s="194"/>
      <c r="Q104" s="194"/>
      <c r="R104" s="194"/>
      <c r="S104" s="194"/>
    </row>
    <row r="105" spans="3:19" x14ac:dyDescent="0.2">
      <c r="C105" s="54" t="s">
        <v>117</v>
      </c>
      <c r="D105" s="21" t="s">
        <v>70</v>
      </c>
      <c r="E105" s="70" t="str">
        <f t="shared" ref="E105:F105" si="9">E82</f>
        <v>$dollars</v>
      </c>
      <c r="F105" s="108" t="str">
        <f t="shared" si="9"/>
        <v>nominal</v>
      </c>
      <c r="G105" s="63"/>
      <c r="H105" s="63"/>
      <c r="I105" s="63"/>
      <c r="J105" s="198"/>
      <c r="K105" s="198"/>
      <c r="L105" s="73"/>
      <c r="M105" s="194"/>
      <c r="N105" s="194"/>
      <c r="O105" s="194"/>
      <c r="P105" s="194"/>
      <c r="Q105" s="194"/>
      <c r="R105" s="194"/>
      <c r="S105" s="194"/>
    </row>
    <row r="106" spans="3:19" x14ac:dyDescent="0.2">
      <c r="C106" s="54" t="s">
        <v>118</v>
      </c>
      <c r="D106" s="21" t="s">
        <v>70</v>
      </c>
      <c r="E106" s="70" t="str">
        <f t="shared" ref="E106:F106" si="10">E83</f>
        <v>$dollars</v>
      </c>
      <c r="F106" s="108" t="str">
        <f t="shared" si="10"/>
        <v>nominal</v>
      </c>
      <c r="G106" s="63"/>
      <c r="H106" s="63"/>
      <c r="I106" s="63"/>
      <c r="J106" s="198"/>
      <c r="K106" s="198"/>
      <c r="L106" s="73"/>
      <c r="M106" s="194"/>
      <c r="N106" s="194"/>
      <c r="O106" s="194"/>
      <c r="P106" s="194"/>
      <c r="Q106" s="194"/>
      <c r="R106" s="194"/>
      <c r="S106" s="194"/>
    </row>
    <row r="107" spans="3:19" x14ac:dyDescent="0.2">
      <c r="C107" s="54" t="s">
        <v>119</v>
      </c>
      <c r="D107" s="21" t="s">
        <v>70</v>
      </c>
      <c r="E107" s="70" t="str">
        <f t="shared" ref="E107:F107" si="11">E84</f>
        <v>$dollars</v>
      </c>
      <c r="F107" s="108" t="str">
        <f t="shared" si="11"/>
        <v>nominal</v>
      </c>
      <c r="G107" s="63"/>
      <c r="H107" s="63"/>
      <c r="I107" s="63"/>
      <c r="J107" s="198"/>
      <c r="K107" s="198"/>
      <c r="L107" s="73"/>
      <c r="M107" s="194"/>
      <c r="N107" s="194"/>
      <c r="O107" s="194"/>
      <c r="P107" s="194"/>
      <c r="Q107" s="194"/>
      <c r="R107" s="194"/>
      <c r="S107" s="194"/>
    </row>
    <row r="108" spans="3:19" x14ac:dyDescent="0.2">
      <c r="C108" s="54" t="s">
        <v>120</v>
      </c>
      <c r="D108" s="21" t="s">
        <v>70</v>
      </c>
      <c r="E108" s="70" t="str">
        <f t="shared" ref="E108:F108" si="12">E85</f>
        <v>$dollars</v>
      </c>
      <c r="F108" s="108" t="str">
        <f t="shared" si="12"/>
        <v>nominal</v>
      </c>
      <c r="G108" s="63"/>
      <c r="H108" s="63"/>
      <c r="I108" s="63"/>
      <c r="J108" s="198"/>
      <c r="K108" s="198"/>
      <c r="L108" s="73"/>
      <c r="M108" s="113">
        <v>0</v>
      </c>
      <c r="N108" s="113">
        <v>0</v>
      </c>
      <c r="O108" s="113">
        <v>0</v>
      </c>
      <c r="P108" s="113">
        <v>0</v>
      </c>
      <c r="Q108" s="113">
        <v>0</v>
      </c>
      <c r="R108" s="113">
        <v>0</v>
      </c>
      <c r="S108" s="113">
        <v>0</v>
      </c>
    </row>
    <row r="109" spans="3:19" x14ac:dyDescent="0.2">
      <c r="C109" s="54" t="s">
        <v>122</v>
      </c>
      <c r="D109" s="21" t="s">
        <v>70</v>
      </c>
      <c r="E109" s="70" t="str">
        <f t="shared" ref="E109:F109" si="13">E86</f>
        <v>$dollars</v>
      </c>
      <c r="F109" s="108" t="str">
        <f t="shared" si="13"/>
        <v>nominal</v>
      </c>
      <c r="G109" s="63"/>
      <c r="H109" s="63"/>
      <c r="I109" s="63"/>
      <c r="J109" s="198"/>
      <c r="K109" s="198"/>
      <c r="L109" s="73"/>
      <c r="M109" s="194"/>
      <c r="N109" s="194"/>
      <c r="O109" s="194"/>
      <c r="P109" s="194"/>
      <c r="Q109" s="194"/>
      <c r="R109" s="194"/>
      <c r="S109" s="194"/>
    </row>
    <row r="110" spans="3:19" x14ac:dyDescent="0.2">
      <c r="C110" s="54" t="s">
        <v>123</v>
      </c>
      <c r="D110" s="21" t="s">
        <v>70</v>
      </c>
      <c r="E110" s="70" t="str">
        <f t="shared" ref="E110:F110" si="14">E87</f>
        <v>$dollars</v>
      </c>
      <c r="F110" s="108" t="str">
        <f t="shared" si="14"/>
        <v>nominal</v>
      </c>
      <c r="G110" s="63"/>
      <c r="H110" s="63"/>
      <c r="I110" s="63"/>
      <c r="J110" s="198"/>
      <c r="K110" s="198"/>
      <c r="L110" s="73"/>
      <c r="M110" s="113">
        <v>0</v>
      </c>
      <c r="N110" s="113">
        <v>0</v>
      </c>
      <c r="O110" s="113">
        <v>0</v>
      </c>
      <c r="P110" s="113">
        <v>0</v>
      </c>
      <c r="Q110" s="113">
        <v>0</v>
      </c>
      <c r="R110" s="113">
        <v>0</v>
      </c>
      <c r="S110" s="113">
        <v>0</v>
      </c>
    </row>
    <row r="111" spans="3:19" x14ac:dyDescent="0.2">
      <c r="C111" s="54" t="s">
        <v>124</v>
      </c>
      <c r="D111" s="21" t="s">
        <v>70</v>
      </c>
      <c r="E111" s="70" t="str">
        <f t="shared" ref="E111:F111" si="15">E88</f>
        <v>$dollars</v>
      </c>
      <c r="F111" s="108" t="str">
        <f t="shared" si="15"/>
        <v>nominal</v>
      </c>
      <c r="G111" s="63"/>
      <c r="H111" s="63"/>
      <c r="I111" s="63"/>
      <c r="J111" s="198"/>
      <c r="K111" s="198"/>
      <c r="L111" s="73"/>
      <c r="M111" s="113">
        <v>0</v>
      </c>
      <c r="N111" s="113">
        <v>0</v>
      </c>
      <c r="O111" s="113">
        <v>0</v>
      </c>
      <c r="P111" s="113">
        <v>0</v>
      </c>
      <c r="Q111" s="113">
        <v>0</v>
      </c>
      <c r="R111" s="113">
        <v>0</v>
      </c>
      <c r="S111" s="113">
        <v>0</v>
      </c>
    </row>
    <row r="112" spans="3:19" x14ac:dyDescent="0.2">
      <c r="C112" s="54" t="s">
        <v>125</v>
      </c>
      <c r="D112" s="21" t="s">
        <v>70</v>
      </c>
      <c r="E112" s="70" t="str">
        <f t="shared" ref="E112:F112" si="16">E89</f>
        <v>$dollars</v>
      </c>
      <c r="F112" s="108" t="str">
        <f t="shared" si="16"/>
        <v>nominal</v>
      </c>
      <c r="G112" s="63"/>
      <c r="H112" s="63"/>
      <c r="I112" s="63"/>
      <c r="J112" s="198"/>
      <c r="K112" s="198"/>
      <c r="L112" s="73"/>
      <c r="M112" s="113">
        <v>0</v>
      </c>
      <c r="N112" s="113">
        <v>0</v>
      </c>
      <c r="O112" s="113">
        <v>0</v>
      </c>
      <c r="P112" s="113">
        <v>0</v>
      </c>
      <c r="Q112" s="113">
        <v>0</v>
      </c>
      <c r="R112" s="113">
        <v>0</v>
      </c>
      <c r="S112" s="113">
        <v>0</v>
      </c>
    </row>
    <row r="113" spans="3:21" x14ac:dyDescent="0.2">
      <c r="C113" s="54" t="s">
        <v>126</v>
      </c>
      <c r="D113" s="21" t="s">
        <v>70</v>
      </c>
      <c r="E113" s="70" t="str">
        <f t="shared" ref="E113:F113" si="17">E90</f>
        <v>$dollars</v>
      </c>
      <c r="F113" s="108" t="str">
        <f t="shared" si="17"/>
        <v>nominal</v>
      </c>
      <c r="G113" s="63"/>
      <c r="H113" s="63"/>
      <c r="I113" s="63"/>
      <c r="J113" s="198"/>
      <c r="K113" s="198"/>
      <c r="L113" s="73"/>
      <c r="M113" s="194"/>
      <c r="N113" s="194"/>
      <c r="O113" s="194"/>
      <c r="P113" s="194"/>
      <c r="Q113" s="194"/>
      <c r="R113" s="194"/>
      <c r="S113" s="194"/>
    </row>
    <row r="114" spans="3:21" x14ac:dyDescent="0.2">
      <c r="C114" s="54" t="s">
        <v>127</v>
      </c>
      <c r="D114" s="21" t="s">
        <v>70</v>
      </c>
      <c r="E114" s="70" t="str">
        <f t="shared" ref="E114:F114" si="18">E91</f>
        <v>$dollars</v>
      </c>
      <c r="F114" s="108" t="str">
        <f t="shared" si="18"/>
        <v>nominal</v>
      </c>
      <c r="G114" s="63"/>
      <c r="H114" s="63"/>
      <c r="I114" s="63"/>
      <c r="J114" s="198"/>
      <c r="K114" s="198"/>
      <c r="L114" s="73"/>
      <c r="M114" s="194"/>
      <c r="N114" s="194"/>
      <c r="O114" s="194"/>
      <c r="P114" s="194"/>
      <c r="Q114" s="194"/>
      <c r="R114" s="194"/>
      <c r="S114" s="194"/>
    </row>
    <row r="115" spans="3:21" x14ac:dyDescent="0.2">
      <c r="C115" s="54" t="s">
        <v>128</v>
      </c>
      <c r="D115" s="21" t="s">
        <v>70</v>
      </c>
      <c r="E115" s="70" t="str">
        <f t="shared" ref="E115:F115" si="19">E92</f>
        <v>$dollars</v>
      </c>
      <c r="F115" s="108" t="str">
        <f t="shared" si="19"/>
        <v>nominal</v>
      </c>
      <c r="G115" s="63"/>
      <c r="H115" s="63"/>
      <c r="I115" s="63"/>
      <c r="J115" s="198"/>
      <c r="K115" s="198"/>
      <c r="L115" s="73"/>
      <c r="M115" s="194"/>
      <c r="N115" s="194"/>
      <c r="O115" s="194"/>
      <c r="P115" s="194"/>
      <c r="Q115" s="194"/>
      <c r="R115" s="194"/>
      <c r="S115" s="194"/>
    </row>
    <row r="116" spans="3:21" x14ac:dyDescent="0.2">
      <c r="C116" s="54" t="s">
        <v>129</v>
      </c>
      <c r="D116" s="21" t="s">
        <v>70</v>
      </c>
      <c r="E116" s="70" t="str">
        <f t="shared" ref="E116:F116" si="20">E93</f>
        <v>$dollars</v>
      </c>
      <c r="F116" s="108" t="str">
        <f t="shared" si="20"/>
        <v>nominal</v>
      </c>
      <c r="G116" s="63"/>
      <c r="H116" s="63"/>
      <c r="I116" s="63"/>
      <c r="J116" s="198"/>
      <c r="K116" s="198"/>
      <c r="L116" s="73"/>
      <c r="M116" s="194"/>
      <c r="N116" s="194"/>
      <c r="O116" s="194"/>
      <c r="P116" s="194"/>
      <c r="Q116" s="194"/>
      <c r="R116" s="194"/>
      <c r="S116" s="194"/>
    </row>
    <row r="117" spans="3:21" x14ac:dyDescent="0.2">
      <c r="C117" s="54" t="s">
        <v>130</v>
      </c>
      <c r="D117" s="21" t="s">
        <v>70</v>
      </c>
      <c r="E117" s="70" t="str">
        <f t="shared" ref="E117:F117" si="21">E94</f>
        <v>$dollars</v>
      </c>
      <c r="F117" s="108" t="str">
        <f t="shared" si="21"/>
        <v>nominal</v>
      </c>
      <c r="G117" s="63"/>
      <c r="H117" s="63"/>
      <c r="I117" s="63"/>
      <c r="J117" s="198"/>
      <c r="K117" s="198"/>
      <c r="L117" s="73"/>
      <c r="M117" s="194"/>
      <c r="N117" s="194"/>
      <c r="O117" s="194"/>
      <c r="P117" s="194"/>
      <c r="Q117" s="194"/>
      <c r="R117" s="194"/>
      <c r="S117" s="194"/>
    </row>
    <row r="118" spans="3:21" x14ac:dyDescent="0.2">
      <c r="C118" s="54" t="s">
        <v>131</v>
      </c>
      <c r="D118" s="21" t="s">
        <v>70</v>
      </c>
      <c r="E118" s="70" t="str">
        <f t="shared" ref="E118:F118" si="22">E95</f>
        <v>$dollars</v>
      </c>
      <c r="F118" s="108" t="str">
        <f t="shared" si="22"/>
        <v>nominal</v>
      </c>
      <c r="G118" s="63"/>
      <c r="H118" s="63"/>
      <c r="I118" s="63"/>
      <c r="J118" s="198"/>
      <c r="K118" s="198"/>
      <c r="L118" s="73"/>
      <c r="M118" s="194"/>
      <c r="N118" s="194"/>
      <c r="O118" s="194"/>
      <c r="P118" s="194"/>
      <c r="Q118" s="194"/>
      <c r="R118" s="194"/>
      <c r="S118" s="194"/>
    </row>
    <row r="119" spans="3:21" x14ac:dyDescent="0.2">
      <c r="C119" s="54" t="s">
        <v>132</v>
      </c>
      <c r="D119" s="21" t="s">
        <v>70</v>
      </c>
      <c r="E119" s="70" t="str">
        <f t="shared" ref="E119:F119" si="23">E96</f>
        <v>$dollars</v>
      </c>
      <c r="F119" s="108" t="str">
        <f t="shared" si="23"/>
        <v>nominal</v>
      </c>
      <c r="G119" s="63"/>
      <c r="H119" s="63"/>
      <c r="I119" s="63"/>
      <c r="J119" s="198"/>
      <c r="K119" s="198"/>
      <c r="L119" s="73"/>
      <c r="M119" s="194"/>
      <c r="N119" s="194"/>
      <c r="O119" s="194"/>
      <c r="P119" s="194"/>
      <c r="Q119" s="194"/>
      <c r="R119" s="194"/>
      <c r="S119" s="194"/>
    </row>
    <row r="120" spans="3:21" x14ac:dyDescent="0.2">
      <c r="C120" s="54" t="s">
        <v>133</v>
      </c>
      <c r="D120" s="21" t="s">
        <v>70</v>
      </c>
      <c r="E120" s="70" t="str">
        <f t="shared" ref="E120:F120" si="24">E97</f>
        <v>$dollars</v>
      </c>
      <c r="F120" s="108" t="str">
        <f t="shared" si="24"/>
        <v>nominal</v>
      </c>
      <c r="G120" s="63"/>
      <c r="H120" s="63"/>
      <c r="I120" s="63"/>
      <c r="J120" s="198"/>
      <c r="K120" s="198"/>
      <c r="L120" s="73"/>
      <c r="M120" s="194"/>
      <c r="N120" s="194"/>
      <c r="O120" s="194"/>
      <c r="P120" s="194"/>
      <c r="Q120" s="194"/>
      <c r="R120" s="194"/>
      <c r="S120" s="194"/>
    </row>
    <row r="121" spans="3:21" x14ac:dyDescent="0.2">
      <c r="C121" s="54" t="s">
        <v>134</v>
      </c>
      <c r="D121" s="21" t="s">
        <v>70</v>
      </c>
      <c r="E121" s="70" t="str">
        <f t="shared" ref="E121:F121" si="25">E98</f>
        <v>$dollars</v>
      </c>
      <c r="F121" s="108" t="str">
        <f t="shared" si="25"/>
        <v>nominal</v>
      </c>
      <c r="G121" s="63"/>
      <c r="H121" s="63"/>
      <c r="I121" s="63"/>
      <c r="J121" s="198"/>
      <c r="K121" s="198"/>
      <c r="L121" s="73"/>
      <c r="M121" s="194"/>
      <c r="N121" s="194"/>
      <c r="O121" s="194"/>
      <c r="P121" s="194"/>
      <c r="Q121" s="194"/>
      <c r="R121" s="194"/>
      <c r="S121" s="194"/>
    </row>
    <row r="122" spans="3:21" x14ac:dyDescent="0.2">
      <c r="C122" s="54" t="s">
        <v>135</v>
      </c>
      <c r="D122" s="21" t="s">
        <v>70</v>
      </c>
      <c r="E122" s="70" t="str">
        <f>E99</f>
        <v>$dollars</v>
      </c>
      <c r="F122" s="108" t="str">
        <f>F99</f>
        <v>nominal</v>
      </c>
      <c r="G122" s="63"/>
      <c r="H122" s="63"/>
      <c r="I122" s="63"/>
      <c r="J122" s="73"/>
      <c r="K122" s="73"/>
      <c r="L122" s="73"/>
      <c r="M122" s="195"/>
      <c r="N122" s="195"/>
      <c r="O122" s="195"/>
      <c r="P122" s="195"/>
      <c r="Q122" s="195"/>
      <c r="R122" s="195"/>
      <c r="S122" s="195"/>
    </row>
    <row r="123" spans="3:21" ht="10.5" x14ac:dyDescent="0.25">
      <c r="C123" s="106" t="s">
        <v>136</v>
      </c>
      <c r="D123" s="21" t="s">
        <v>70</v>
      </c>
      <c r="E123" s="70" t="str">
        <f>E100</f>
        <v>$dollars</v>
      </c>
      <c r="F123" s="108" t="str">
        <f>F100</f>
        <v>nominal</v>
      </c>
      <c r="G123" s="63"/>
      <c r="H123" s="63"/>
      <c r="I123" s="63"/>
      <c r="J123" s="73"/>
      <c r="K123" s="73"/>
      <c r="L123" s="73"/>
      <c r="M123" s="109">
        <v>17944366.964383561</v>
      </c>
      <c r="N123" s="109">
        <v>19800314.09640127</v>
      </c>
      <c r="O123" s="109">
        <v>21335723.927469175</v>
      </c>
      <c r="P123" s="109">
        <v>22634506.238311302</v>
      </c>
      <c r="Q123" s="109">
        <v>23548285.285816893</v>
      </c>
      <c r="R123" s="109">
        <v>24138429.372850027</v>
      </c>
      <c r="S123" s="109">
        <v>24229876.295194846</v>
      </c>
    </row>
    <row r="124" spans="3:21" x14ac:dyDescent="0.2">
      <c r="C124" s="54"/>
      <c r="D124" s="63"/>
      <c r="E124" s="63"/>
      <c r="F124" s="63"/>
      <c r="G124" s="63"/>
      <c r="H124" s="63"/>
      <c r="J124" s="63"/>
      <c r="K124" s="63"/>
      <c r="L124" s="63"/>
      <c r="M124" s="63"/>
      <c r="N124" s="63"/>
      <c r="O124" s="63"/>
      <c r="P124" s="63"/>
      <c r="Q124" s="63"/>
      <c r="R124" s="63"/>
      <c r="S124" s="63"/>
      <c r="T124" s="63"/>
      <c r="U124" s="63"/>
    </row>
    <row r="125" spans="3:21" ht="10.5" x14ac:dyDescent="0.25">
      <c r="C125" s="29" t="s">
        <v>102</v>
      </c>
      <c r="D125" s="147" t="s">
        <v>90</v>
      </c>
      <c r="E125" s="21" t="s">
        <v>82</v>
      </c>
      <c r="F125" s="108"/>
      <c r="G125" s="63"/>
      <c r="H125" s="63"/>
      <c r="I125" s="63"/>
      <c r="J125" s="63"/>
      <c r="K125" s="73"/>
      <c r="L125" s="73"/>
      <c r="M125" s="128">
        <v>0.91975323965225619</v>
      </c>
      <c r="N125" s="128">
        <v>0.91975323965225619</v>
      </c>
      <c r="O125" s="128">
        <v>0.91975323965225619</v>
      </c>
      <c r="P125" s="128">
        <v>0.91975323965225619</v>
      </c>
      <c r="Q125" s="128">
        <v>0.91975323965225619</v>
      </c>
      <c r="R125" s="128">
        <v>0.91975323965225619</v>
      </c>
      <c r="S125" s="128">
        <v>0.91975323965225619</v>
      </c>
    </row>
    <row r="126" spans="3:21" x14ac:dyDescent="0.2">
      <c r="C126" s="54"/>
      <c r="D126" s="63"/>
      <c r="E126" s="63"/>
      <c r="F126" s="108"/>
      <c r="G126" s="63"/>
      <c r="H126" s="63"/>
      <c r="I126" s="63"/>
      <c r="J126" s="73"/>
      <c r="K126" s="73"/>
      <c r="L126" s="73"/>
      <c r="M126" s="73"/>
      <c r="N126" s="73"/>
      <c r="O126" s="73"/>
      <c r="P126" s="73"/>
      <c r="Q126" s="73"/>
      <c r="R126" s="73"/>
      <c r="S126" s="73"/>
    </row>
    <row r="127" spans="3:21" ht="10.5" x14ac:dyDescent="0.25">
      <c r="C127" s="29" t="s">
        <v>145</v>
      </c>
      <c r="D127" s="63"/>
      <c r="E127" s="63"/>
      <c r="F127" s="108"/>
      <c r="G127" s="63"/>
      <c r="H127" s="63"/>
      <c r="I127" s="63"/>
      <c r="J127" s="73"/>
      <c r="K127" s="73"/>
      <c r="L127" s="73"/>
      <c r="M127" s="154">
        <f t="shared" ref="M127:S127" si="26">IF(YEAR(M$4)&lt;=PPLastYear,M$4,IF(YEAR(M$4)&gt;=FPFirstYear,IF(YEAR(M$4)&lt;=FPLastYear,M$4,""),""))</f>
        <v>45078</v>
      </c>
      <c r="N127" s="154">
        <f t="shared" si="26"/>
        <v>45444</v>
      </c>
      <c r="O127" s="154">
        <f t="shared" si="26"/>
        <v>45809</v>
      </c>
      <c r="P127" s="154">
        <f t="shared" si="26"/>
        <v>46174</v>
      </c>
      <c r="Q127" s="154">
        <f t="shared" si="26"/>
        <v>46539</v>
      </c>
      <c r="R127" s="154">
        <f t="shared" si="26"/>
        <v>46905</v>
      </c>
      <c r="S127" s="154">
        <f t="shared" si="26"/>
        <v>47270</v>
      </c>
    </row>
    <row r="128" spans="3:21" x14ac:dyDescent="0.2">
      <c r="C128" s="54" t="s">
        <v>106</v>
      </c>
      <c r="D128" s="21" t="s">
        <v>70</v>
      </c>
      <c r="E128" s="70" t="str">
        <f t="shared" ref="E128" si="27">E104</f>
        <v>$dollars</v>
      </c>
      <c r="F128" s="108" t="str">
        <f>F123</f>
        <v>nominal</v>
      </c>
      <c r="G128" s="63"/>
      <c r="H128" s="63"/>
      <c r="I128" s="63"/>
      <c r="J128" s="73"/>
      <c r="K128" s="73"/>
      <c r="L128" s="73"/>
      <c r="M128" s="109">
        <f>M123*M125</f>
        <v>16504389.649000702</v>
      </c>
      <c r="N128" s="109">
        <f t="shared" ref="N128:S128" si="28">N123*N125</f>
        <v>18211403.036297303</v>
      </c>
      <c r="O128" s="109">
        <f t="shared" si="28"/>
        <v>19623601.202615932</v>
      </c>
      <c r="P128" s="109">
        <f t="shared" si="28"/>
        <v>20818160.440616023</v>
      </c>
      <c r="Q128" s="109">
        <f t="shared" si="28"/>
        <v>21658611.679885644</v>
      </c>
      <c r="R128" s="109">
        <f t="shared" si="28"/>
        <v>22201398.615795992</v>
      </c>
      <c r="S128" s="109">
        <f t="shared" si="28"/>
        <v>22285507.218878865</v>
      </c>
    </row>
    <row r="129" spans="1:30" ht="10.5" x14ac:dyDescent="0.25">
      <c r="C129" s="54"/>
      <c r="E129" s="70"/>
      <c r="F129" s="108"/>
      <c r="G129" s="63"/>
      <c r="H129" s="63"/>
      <c r="I129" s="63"/>
      <c r="J129" s="73"/>
      <c r="K129" s="73"/>
      <c r="L129" s="73"/>
      <c r="M129" s="114"/>
      <c r="N129" s="114"/>
      <c r="O129" s="114"/>
      <c r="P129" s="114"/>
      <c r="Q129" s="114"/>
      <c r="R129" s="114"/>
      <c r="S129" s="114"/>
    </row>
    <row r="130" spans="1:30" x14ac:dyDescent="0.2">
      <c r="C130" s="54" t="s">
        <v>106</v>
      </c>
      <c r="D130" s="21" t="s">
        <v>70</v>
      </c>
      <c r="E130" s="21" t="str">
        <f t="shared" ref="E130:E131" si="29">$E$8</f>
        <v>$millions</v>
      </c>
      <c r="F130" s="108" t="str">
        <f>F128</f>
        <v>nominal</v>
      </c>
      <c r="G130" s="63"/>
      <c r="H130" s="63"/>
      <c r="I130" s="63"/>
      <c r="J130" s="73"/>
      <c r="K130" s="73"/>
      <c r="L130" s="73"/>
      <c r="M130" s="78">
        <f>M128/10^6</f>
        <v>16.504389649000704</v>
      </c>
      <c r="N130" s="78">
        <f t="shared" ref="N130:S130" si="30">N128/10^6</f>
        <v>18.211403036297302</v>
      </c>
      <c r="O130" s="78">
        <f t="shared" si="30"/>
        <v>19.62360120261593</v>
      </c>
      <c r="P130" s="78">
        <f t="shared" si="30"/>
        <v>20.818160440616023</v>
      </c>
      <c r="Q130" s="78">
        <f t="shared" si="30"/>
        <v>21.658611679885645</v>
      </c>
      <c r="R130" s="78">
        <f t="shared" si="30"/>
        <v>22.201398615795991</v>
      </c>
      <c r="S130" s="78">
        <f t="shared" si="30"/>
        <v>22.285507218878866</v>
      </c>
    </row>
    <row r="131" spans="1:30" x14ac:dyDescent="0.2">
      <c r="C131" s="54" t="s">
        <v>106</v>
      </c>
      <c r="D131" s="21" t="s">
        <v>70</v>
      </c>
      <c r="E131" s="21" t="str">
        <f t="shared" si="29"/>
        <v>$millions</v>
      </c>
      <c r="F131" s="108">
        <f t="shared" ref="F131" si="31">$F$8</f>
        <v>45444</v>
      </c>
      <c r="G131" s="63"/>
      <c r="H131" s="63"/>
      <c r="I131" s="63"/>
      <c r="J131" s="73"/>
      <c r="K131" s="73"/>
      <c r="L131" s="73"/>
      <c r="M131" s="78">
        <f>M130*IF($F130="nominal",LOOKUP($F131,'Lookup|Tables'!Nominal_to_Real,'Calc|CPI Indexes'!N$31:N$42),INDEX('Calc|CPI Indexes'!$C$14:$T$27,MATCH($F130,'Calc|CPI Indexes'!$C$14:$C$27,0),MATCH($F131,'Calc|CPI Indexes'!$C$14:$T$14,0)))</f>
        <v>17.606271068020735</v>
      </c>
      <c r="N131" s="78">
        <f>N130*IF($F130="nominal",LOOKUP($F131,'Lookup|Tables'!Nominal_to_Real,'Calc|CPI Indexes'!O$31:O$42),INDEX('Calc|CPI Indexes'!$C$14:$T$27,MATCH($F130,'Calc|CPI Indexes'!$C$14:$C$27,0),MATCH($F131,'Calc|CPI Indexes'!$C$14:$T$14,0)))</f>
        <v>18.536309982579464</v>
      </c>
      <c r="O131" s="78">
        <f>O130*IF($F130="nominal",LOOKUP($F131,'Lookup|Tables'!Nominal_to_Real,'Calc|CPI Indexes'!P$31:P$42),INDEX('Calc|CPI Indexes'!$C$14:$T$27,MATCH($F130,'Calc|CPI Indexes'!$C$14:$C$27,0),MATCH($F131,'Calc|CPI Indexes'!$C$14:$T$14,0)))</f>
        <v>19.35452932767204</v>
      </c>
      <c r="P131" s="78">
        <f>P130*IF($F130="nominal",LOOKUP($F131,'Lookup|Tables'!Nominal_to_Real,'Calc|CPI Indexes'!Q$31:Q$42),INDEX('Calc|CPI Indexes'!$C$14:$T$27,MATCH($F130,'Calc|CPI Indexes'!$C$14:$C$27,0),MATCH($F131,'Calc|CPI Indexes'!$C$14:$T$14,0)))</f>
        <v>19.973495047248374</v>
      </c>
      <c r="Q131" s="78">
        <f>Q130*IF($F130="nominal",LOOKUP($F131,'Lookup|Tables'!Nominal_to_Real,'Calc|CPI Indexes'!R$31:R$42),INDEX('Calc|CPI Indexes'!$C$14:$T$27,MATCH($F130,'Calc|CPI Indexes'!$C$14:$C$27,0),MATCH($F131,'Calc|CPI Indexes'!$C$14:$T$14,0)))</f>
        <v>20.213901255274568</v>
      </c>
      <c r="R131" s="78">
        <f>R130*IF($F130="nominal",LOOKUP($F131,'Lookup|Tables'!Nominal_to_Real,'Calc|CPI Indexes'!S$31:S$42),INDEX('Calc|CPI Indexes'!$C$14:$T$27,MATCH($F130,'Calc|CPI Indexes'!$C$14:$C$27,0),MATCH($F131,'Calc|CPI Indexes'!$C$14:$T$14,0)))</f>
        <v>20.156154074109928</v>
      </c>
      <c r="S131" s="78">
        <f>S130*IF($F130="nominal",LOOKUP($F131,'Lookup|Tables'!Nominal_to_Real,'Calc|CPI Indexes'!T$31:T$42),INDEX('Calc|CPI Indexes'!$C$14:$T$27,MATCH($F130,'Calc|CPI Indexes'!$C$14:$C$27,0),MATCH($F131,'Calc|CPI Indexes'!$C$14:$T$14,0)))</f>
        <v>19.681476142102081</v>
      </c>
    </row>
    <row r="132" spans="1:30" x14ac:dyDescent="0.2">
      <c r="C132" s="54"/>
      <c r="D132" s="63"/>
      <c r="E132" s="63"/>
      <c r="F132" s="108"/>
      <c r="G132" s="63"/>
      <c r="H132" s="63"/>
      <c r="I132" s="63"/>
      <c r="J132" s="73"/>
      <c r="K132" s="73"/>
      <c r="L132" s="73"/>
      <c r="M132" s="73"/>
      <c r="N132" s="73"/>
      <c r="O132" s="78"/>
      <c r="P132" s="78"/>
      <c r="Q132" s="78"/>
      <c r="R132" s="78"/>
      <c r="S132" s="78"/>
    </row>
    <row r="133" spans="1:30" x14ac:dyDescent="0.2">
      <c r="C133" s="54"/>
      <c r="D133" s="63"/>
      <c r="E133" s="63"/>
      <c r="F133" s="63"/>
      <c r="G133" s="63"/>
      <c r="H133" s="63"/>
      <c r="I133" s="63"/>
      <c r="J133" s="63"/>
      <c r="K133" s="63"/>
      <c r="L133" s="63"/>
      <c r="M133" s="63"/>
      <c r="N133" s="107"/>
      <c r="O133" s="107"/>
      <c r="P133" s="107"/>
      <c r="Q133" s="107"/>
      <c r="R133" s="107"/>
      <c r="S133" s="107"/>
    </row>
    <row r="134" spans="1:30" s="19" customFormat="1" ht="13" x14ac:dyDescent="0.3">
      <c r="A134" s="12"/>
      <c r="B134" s="13" t="s">
        <v>41</v>
      </c>
      <c r="C134" s="12"/>
      <c r="D134" s="12"/>
      <c r="E134" s="12"/>
      <c r="F134" s="14"/>
      <c r="G134" s="14"/>
      <c r="H134" s="14"/>
      <c r="I134" s="14"/>
      <c r="J134" s="15"/>
      <c r="K134" s="16"/>
      <c r="L134" s="15"/>
      <c r="M134" s="16"/>
      <c r="N134" s="15"/>
      <c r="O134" s="15"/>
      <c r="P134" s="15"/>
      <c r="Q134" s="15"/>
      <c r="R134" s="15"/>
      <c r="S134" s="15"/>
      <c r="T134" s="15"/>
      <c r="U134" s="15"/>
      <c r="V134" s="16"/>
      <c r="W134" s="16"/>
      <c r="X134" s="17"/>
      <c r="Y134" s="17"/>
      <c r="Z134" s="17"/>
      <c r="AA134" s="17"/>
      <c r="AB134" s="17"/>
      <c r="AC134" s="18"/>
      <c r="AD134" s="18"/>
    </row>
  </sheetData>
  <mergeCells count="1">
    <mergeCell ref="N3:S3"/>
  </mergeCells>
  <conditionalFormatting sqref="O17:S17">
    <cfRule type="expression" dxfId="35" priority="6">
      <formula>O$10=O$4</formula>
    </cfRule>
  </conditionalFormatting>
  <conditionalFormatting sqref="O24:S24">
    <cfRule type="expression" dxfId="34" priority="5">
      <formula>O$10=O$4</formula>
    </cfRule>
  </conditionalFormatting>
  <conditionalFormatting sqref="O33:S33">
    <cfRule type="expression" dxfId="33" priority="4">
      <formula>O$10=O$4</formula>
    </cfRule>
  </conditionalFormatting>
  <conditionalFormatting sqref="O80:S80">
    <cfRule type="expression" dxfId="32" priority="3">
      <formula>O$10=O$4</formula>
    </cfRule>
  </conditionalFormatting>
  <conditionalFormatting sqref="O103:S103">
    <cfRule type="expression" dxfId="31" priority="2">
      <formula>O$10=O$4</formula>
    </cfRule>
  </conditionalFormatting>
  <conditionalFormatting sqref="O127:S127">
    <cfRule type="expression" dxfId="30" priority="1">
      <formula>O$10=O$4</formula>
    </cfRule>
  </conditionalFormatting>
  <dataValidations count="3">
    <dataValidation type="list" allowBlank="1" showInputMessage="1" showErrorMessage="1" sqref="F133" xr:uid="{59920856-B02F-4594-885C-0A781E5568E9}">
      <formula1>"Real 2010,Real 2011,Real 2012,Real 2013,Real 2014,Real 2015,Nominal"</formula1>
    </dataValidation>
    <dataValidation type="list" allowBlank="1" showInputMessage="1" showErrorMessage="1" sqref="F19 F12" xr:uid="{B824D632-409F-42BB-ADB2-C2FDD2C35072}">
      <formula1>$F$130:$F$131</formula1>
    </dataValidation>
    <dataValidation type="list" allowBlank="1" showInputMessage="1" showErrorMessage="1" sqref="D77" xr:uid="{C79A3001-8A06-447C-AD5F-7EB56BF63099}">
      <formula1>"No, Yes"</formula1>
    </dataValidation>
  </dataValidations>
  <pageMargins left="0.7" right="0.7" top="0.75" bottom="0.75" header="0.3" footer="0.3"/>
  <pageSetup paperSize="9" orientation="portrait" verticalDpi="4" r:id="rId1"/>
  <headerFooter>
    <oddFooter>&amp;L&amp;1#&amp;"Calibri"&amp;8&amp;K000000For Official use only</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62F5523-D404-47BA-B422-B1081439C30A}">
          <x14:formula1>
            <xm:f>'Lookup|Tables'!$G$81:$G$84</xm:f>
          </x14:formula1>
          <xm:sqref>F34:F52</xm:sqref>
        </x14:dataValidation>
        <x14:dataValidation type="list" allowBlank="1" showDropDown="1" showInputMessage="1" showErrorMessage="1" xr:uid="{FD2CD535-9D6A-4D6E-BE06-82439B4E66AF}">
          <x14:formula1>
            <xm:f>'Lookup|Tables'!$G$81:$G$84</xm:f>
          </x14:formula1>
          <xm:sqref>F99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17C95-877E-4CB9-9538-3B309939C284}">
  <sheetPr codeName="Sheet7">
    <tabColor rgb="FFCCFFCC"/>
  </sheetPr>
  <dimension ref="A1:AD49"/>
  <sheetViews>
    <sheetView showGridLines="0" zoomScale="118" zoomScaleNormal="118" workbookViewId="0"/>
  </sheetViews>
  <sheetFormatPr defaultColWidth="0" defaultRowHeight="10" zeroHeight="1" x14ac:dyDescent="0.2"/>
  <cols>
    <col min="1" max="2" width="1.1796875" style="20" customWidth="1"/>
    <col min="3" max="3" width="62.54296875" style="20" bestFit="1" customWidth="1"/>
    <col min="4" max="4" width="22.54296875" style="21" customWidth="1"/>
    <col min="5" max="5" width="12.81640625" style="21" customWidth="1"/>
    <col min="6" max="6" width="8.81640625" style="21" customWidth="1"/>
    <col min="7" max="7" width="4.54296875" style="21" customWidth="1"/>
    <col min="8" max="9" width="2.81640625" style="21" customWidth="1"/>
    <col min="10" max="10" width="16" style="20" bestFit="1" customWidth="1"/>
    <col min="11" max="23" width="8.81640625" style="20" customWidth="1"/>
    <col min="24" max="38" width="8.54296875" style="20" hidden="1" customWidth="1"/>
    <col min="39" max="16384" width="8.54296875" style="20" hidden="1"/>
  </cols>
  <sheetData>
    <row r="1" spans="1:30" s="1" customFormat="1" ht="15.5" x14ac:dyDescent="0.35">
      <c r="B1" s="2" t="s">
        <v>42</v>
      </c>
      <c r="C1" s="2"/>
      <c r="D1" s="2"/>
      <c r="E1" s="2"/>
      <c r="F1" s="2"/>
      <c r="G1" s="2"/>
      <c r="H1" s="2"/>
      <c r="I1" s="2"/>
      <c r="J1" s="2"/>
      <c r="K1" s="2"/>
      <c r="L1" s="95" t="s">
        <v>58</v>
      </c>
      <c r="M1" s="96" t="s">
        <v>59</v>
      </c>
      <c r="N1" s="97" t="s">
        <v>61</v>
      </c>
      <c r="O1" s="2"/>
      <c r="P1" s="2"/>
      <c r="Q1" s="2"/>
      <c r="R1" s="2"/>
      <c r="S1" s="2"/>
      <c r="T1" s="2"/>
      <c r="U1" s="2"/>
      <c r="V1" s="2"/>
      <c r="W1" s="2"/>
    </row>
    <row r="2" spans="1:30" s="7" customFormat="1" ht="13.5" thickBot="1" x14ac:dyDescent="0.35">
      <c r="B2" s="8" t="s">
        <v>146</v>
      </c>
      <c r="C2" s="8"/>
      <c r="D2" s="8"/>
      <c r="E2" s="8"/>
      <c r="F2" s="9"/>
      <c r="G2" s="9"/>
      <c r="H2" s="9"/>
      <c r="I2" s="9"/>
    </row>
    <row r="3" spans="1:30" s="38" customFormat="1" ht="14.75" customHeight="1" x14ac:dyDescent="0.25">
      <c r="D3" s="39"/>
      <c r="E3" s="39"/>
      <c r="F3" s="39"/>
      <c r="G3" s="39"/>
      <c r="H3" s="39"/>
      <c r="I3" s="39"/>
      <c r="J3" s="64" t="s">
        <v>50</v>
      </c>
      <c r="K3" s="64"/>
      <c r="L3" s="64"/>
      <c r="M3" s="39"/>
      <c r="N3" s="202"/>
      <c r="O3" s="202"/>
      <c r="P3" s="202"/>
      <c r="Q3" s="202"/>
      <c r="R3" s="202"/>
      <c r="S3" s="202"/>
      <c r="T3" s="41"/>
      <c r="U3" s="41"/>
      <c r="V3" s="41"/>
      <c r="W3" s="41"/>
      <c r="X3" s="41"/>
      <c r="Y3" s="41"/>
      <c r="Z3" s="41"/>
    </row>
    <row r="4" spans="1:30" s="19" customFormat="1" x14ac:dyDescent="0.2">
      <c r="A4" s="42"/>
      <c r="B4" s="42"/>
      <c r="C4" s="42"/>
      <c r="D4" s="43" t="s">
        <v>45</v>
      </c>
      <c r="E4" s="43" t="s">
        <v>72</v>
      </c>
      <c r="F4" s="44" t="s">
        <v>78</v>
      </c>
      <c r="G4" s="45"/>
      <c r="H4" s="45"/>
      <c r="I4" s="45"/>
      <c r="J4" s="46">
        <f>DATE(PPFirstYear,MONTH('Input|General'!$G$9),1)</f>
        <v>43983</v>
      </c>
      <c r="K4" s="46">
        <f>DATE(PPFirstYear+1,MONTH('Input|General'!$G$9),1)</f>
        <v>44348</v>
      </c>
      <c r="L4" s="46">
        <f>DATE(PPFirstYear+2,MONTH('Input|General'!$G$9),1)</f>
        <v>44713</v>
      </c>
      <c r="M4" s="46">
        <f>DATE(PPFirstYear+3,MONTH('Input|General'!$G$9),1)</f>
        <v>45078</v>
      </c>
      <c r="N4" s="46">
        <f>DATE(PPFirstYear+4,MONTH('Input|General'!$G$9),1)</f>
        <v>45444</v>
      </c>
      <c r="O4" s="46">
        <f>DATE(PPFirstYear+5,MONTH('Input|General'!$G$9),1)</f>
        <v>45809</v>
      </c>
      <c r="P4" s="46">
        <f>DATE(PPFirstYear+6,MONTH('Input|General'!$G$9),1)</f>
        <v>46174</v>
      </c>
      <c r="Q4" s="46">
        <f>DATE(PPFirstYear+7,MONTH('Input|General'!$G$9),1)</f>
        <v>46539</v>
      </c>
      <c r="R4" s="46">
        <f>DATE(PPFirstYear+8,MONTH('Input|General'!$G$9),1)</f>
        <v>46905</v>
      </c>
      <c r="S4" s="46">
        <f>DATE(PPFirstYear+9,MONTH('Input|General'!$G$9),1)</f>
        <v>47270</v>
      </c>
      <c r="T4" s="47"/>
      <c r="U4" s="47"/>
      <c r="V4" s="48"/>
      <c r="W4" s="48"/>
    </row>
    <row r="5" spans="1:30" s="10" customFormat="1" ht="3" customHeight="1" x14ac:dyDescent="0.2">
      <c r="D5" s="11"/>
      <c r="E5" s="11"/>
      <c r="F5" s="11"/>
      <c r="G5" s="11"/>
      <c r="H5" s="11"/>
      <c r="I5" s="11"/>
    </row>
    <row r="6" spans="1:30" s="10" customFormat="1" x14ac:dyDescent="0.2">
      <c r="D6" s="11"/>
      <c r="E6" s="11"/>
      <c r="F6" s="11"/>
      <c r="G6" s="11"/>
      <c r="H6" s="11"/>
      <c r="I6" s="11"/>
    </row>
    <row r="7" spans="1:30" s="10" customFormat="1" ht="3" customHeight="1" x14ac:dyDescent="0.2">
      <c r="D7" s="11"/>
      <c r="E7" s="11"/>
      <c r="F7" s="11"/>
      <c r="G7" s="11"/>
      <c r="H7" s="11"/>
      <c r="I7" s="11"/>
    </row>
    <row r="8" spans="1:30" s="19" customFormat="1" ht="13" x14ac:dyDescent="0.3">
      <c r="A8" s="12"/>
      <c r="B8" s="13" t="s">
        <v>86</v>
      </c>
      <c r="C8" s="12"/>
      <c r="D8" s="12"/>
      <c r="E8" s="65" t="s">
        <v>87</v>
      </c>
      <c r="F8" s="81">
        <f>DATE(PPLastYear,MONTH('Input|General'!G9),1)</f>
        <v>45444</v>
      </c>
      <c r="G8" s="14"/>
      <c r="H8" s="14"/>
      <c r="I8" s="14"/>
      <c r="J8" s="15"/>
      <c r="K8" s="16"/>
      <c r="L8" s="15"/>
      <c r="M8" s="16"/>
      <c r="N8" s="15"/>
      <c r="O8" s="15"/>
      <c r="P8" s="15"/>
      <c r="Q8" s="15"/>
      <c r="R8" s="15"/>
      <c r="S8" s="15"/>
      <c r="T8" s="15"/>
      <c r="U8" s="15"/>
      <c r="V8" s="16"/>
      <c r="W8" s="16"/>
      <c r="X8" s="17"/>
      <c r="Y8" s="17"/>
      <c r="Z8" s="17"/>
      <c r="AA8" s="17"/>
      <c r="AB8" s="17"/>
      <c r="AC8" s="18"/>
      <c r="AD8" s="18"/>
    </row>
    <row r="9" spans="1:30" x14ac:dyDescent="0.2"/>
    <row r="10" spans="1:30" ht="10.5" x14ac:dyDescent="0.25">
      <c r="C10" s="29" t="s">
        <v>88</v>
      </c>
      <c r="D10" s="23" t="s">
        <v>45</v>
      </c>
      <c r="E10" s="23" t="s">
        <v>72</v>
      </c>
      <c r="F10" s="23" t="s">
        <v>78</v>
      </c>
      <c r="J10" s="61">
        <f t="shared" ref="J10:S10" si="0">IF(YEAR(J$4)&lt;=PPLastYear,J$4,"")</f>
        <v>43983</v>
      </c>
      <c r="K10" s="61">
        <f t="shared" si="0"/>
        <v>44348</v>
      </c>
      <c r="L10" s="61">
        <f t="shared" si="0"/>
        <v>44713</v>
      </c>
      <c r="M10" s="61">
        <f t="shared" si="0"/>
        <v>45078</v>
      </c>
      <c r="N10" s="61">
        <f t="shared" si="0"/>
        <v>45444</v>
      </c>
      <c r="O10" s="61" t="str">
        <f t="shared" si="0"/>
        <v/>
      </c>
      <c r="P10" s="61" t="str">
        <f t="shared" si="0"/>
        <v/>
      </c>
      <c r="Q10" s="61" t="str">
        <f t="shared" si="0"/>
        <v/>
      </c>
      <c r="R10" s="61" t="str">
        <f t="shared" si="0"/>
        <v/>
      </c>
      <c r="S10" s="61" t="str">
        <f t="shared" si="0"/>
        <v/>
      </c>
    </row>
    <row r="11" spans="1:30" x14ac:dyDescent="0.2">
      <c r="C11" s="54"/>
      <c r="J11" s="63"/>
      <c r="K11" s="63"/>
      <c r="L11" s="63"/>
      <c r="M11" s="63"/>
      <c r="N11" s="63"/>
      <c r="O11" s="63"/>
      <c r="P11" s="63"/>
      <c r="Q11" s="63"/>
      <c r="R11" s="63"/>
      <c r="S11" s="63"/>
    </row>
    <row r="12" spans="1:30" x14ac:dyDescent="0.2">
      <c r="C12" s="54" t="s">
        <v>147</v>
      </c>
      <c r="D12" s="147" t="s">
        <v>90</v>
      </c>
      <c r="E12" s="21" t="str">
        <f>$E$8</f>
        <v>$millions</v>
      </c>
      <c r="F12" s="68">
        <v>45444</v>
      </c>
      <c r="J12" s="69"/>
      <c r="K12" s="69"/>
      <c r="L12" s="69"/>
      <c r="M12" s="80">
        <v>0</v>
      </c>
      <c r="N12" s="63"/>
      <c r="O12" s="78"/>
      <c r="P12" s="78"/>
      <c r="Q12" s="78"/>
      <c r="R12" s="78"/>
      <c r="S12" s="78"/>
    </row>
    <row r="13" spans="1:30" ht="10.5" x14ac:dyDescent="0.25">
      <c r="C13" s="54" t="str">
        <f>C12</f>
        <v>Climate resilience</v>
      </c>
      <c r="D13" s="21" t="s">
        <v>70</v>
      </c>
      <c r="E13" s="21" t="str">
        <f>$E$8</f>
        <v>$millions</v>
      </c>
      <c r="F13" s="70">
        <f>$F$8</f>
        <v>45444</v>
      </c>
      <c r="J13" s="71"/>
      <c r="K13" s="71"/>
      <c r="L13" s="71"/>
      <c r="M13" s="78">
        <f>M12*IF($F12="nominal",LOOKUP($F13,'Lookup|Tables'!Nominal_to_Real,'Calc|CPI Indexes'!N$31:N$42),INDEX('Calc|CPI Indexes'!$C$14:$T$27,MATCH($F12,'Calc|CPI Indexes'!$C$14:$C$27,0),MATCH($F13,'Calc|CPI Indexes'!$C$14:$T$14,0)))</f>
        <v>0</v>
      </c>
      <c r="N13" s="63"/>
      <c r="O13" s="78"/>
      <c r="P13" s="79"/>
      <c r="Q13" s="79"/>
      <c r="R13" s="79"/>
      <c r="S13" s="79"/>
    </row>
    <row r="14" spans="1:30" x14ac:dyDescent="0.2">
      <c r="J14" s="63"/>
      <c r="K14" s="63"/>
      <c r="L14" s="63"/>
    </row>
    <row r="15" spans="1:30" s="19" customFormat="1" ht="13" x14ac:dyDescent="0.3">
      <c r="A15" s="12"/>
      <c r="B15" s="13" t="s">
        <v>91</v>
      </c>
      <c r="C15" s="12"/>
      <c r="D15" s="12"/>
      <c r="E15" s="12"/>
      <c r="F15" s="14"/>
      <c r="G15" s="14"/>
      <c r="H15" s="14"/>
      <c r="I15" s="14"/>
      <c r="J15" s="15"/>
      <c r="K15" s="16"/>
      <c r="L15" s="15"/>
      <c r="M15" s="16"/>
      <c r="N15" s="15"/>
      <c r="O15" s="15"/>
      <c r="P15" s="15"/>
      <c r="Q15" s="15"/>
      <c r="R15" s="15"/>
      <c r="S15" s="15"/>
      <c r="T15" s="15"/>
      <c r="U15" s="15"/>
      <c r="V15" s="16"/>
      <c r="W15" s="16"/>
      <c r="X15" s="17"/>
      <c r="Y15" s="17"/>
      <c r="Z15" s="17"/>
      <c r="AA15" s="17"/>
      <c r="AB15" s="17"/>
      <c r="AC15" s="18"/>
      <c r="AD15" s="18"/>
    </row>
    <row r="16" spans="1:30" x14ac:dyDescent="0.2">
      <c r="C16" s="54"/>
      <c r="J16" s="63"/>
      <c r="K16" s="63"/>
      <c r="L16" s="63"/>
    </row>
    <row r="17" spans="1:30" ht="10.5" x14ac:dyDescent="0.25">
      <c r="C17" s="29" t="s">
        <v>92</v>
      </c>
      <c r="D17" s="23" t="s">
        <v>45</v>
      </c>
      <c r="E17" s="23" t="s">
        <v>72</v>
      </c>
      <c r="F17" s="23" t="s">
        <v>78</v>
      </c>
      <c r="J17" s="61" t="str">
        <f>IF(YEAR(J$4)&gt;='Input|General'!$G$13,IF(YEAR(J$4)&lt;='Input|General'!$G$14,J$4,""),"")</f>
        <v/>
      </c>
      <c r="K17" s="61" t="str">
        <f>IF(YEAR(K$4)&gt;='Input|General'!$G$13,IF(YEAR(K$4)&lt;='Input|General'!$G$14,K$4,""),"")</f>
        <v/>
      </c>
      <c r="L17" s="61" t="str">
        <f>IF(YEAR(L$4)&gt;='Input|General'!$G$13,IF(YEAR(L$4)&lt;='Input|General'!$G$14,L$4,""),"")</f>
        <v/>
      </c>
      <c r="M17" s="61" t="str">
        <f>IF(YEAR(M$4)&gt;='Input|General'!$G$13,IF(YEAR(M$4)&lt;='Input|General'!$G$14,M$4,""),"")</f>
        <v/>
      </c>
      <c r="N17" s="61" t="str">
        <f>IF(YEAR(N$4)&gt;='Input|General'!$G$13,IF(YEAR(N$4)&lt;='Input|General'!$G$14,N$4,""),"")</f>
        <v/>
      </c>
      <c r="O17" s="154">
        <f>IF(YEAR(O$4)&gt;=FPFirstYear,IF(YEAR(O$4)&lt;=FPLastYear,O$4,""),"")</f>
        <v>45809</v>
      </c>
      <c r="P17" s="154">
        <f>IF(YEAR(P$4)&gt;=FPFirstYear,IF(YEAR(P$4)&lt;=FPLastYear,P$4,""),"")</f>
        <v>46174</v>
      </c>
      <c r="Q17" s="154">
        <f>IF(YEAR(Q$4)&gt;=FPFirstYear,IF(YEAR(Q$4)&lt;=FPLastYear,Q$4,""),"")</f>
        <v>46539</v>
      </c>
      <c r="R17" s="154">
        <f>IF(YEAR(R$4)&gt;=FPFirstYear,IF(YEAR(R$4)&lt;=FPLastYear,R$4,""),"")</f>
        <v>46905</v>
      </c>
      <c r="S17" s="154">
        <f>IF(YEAR(S$4)&gt;=FPFirstYear,IF(YEAR(S$4)&lt;=FPLastYear,S$4,""),"")</f>
        <v>47270</v>
      </c>
    </row>
    <row r="18" spans="1:30" ht="10.5" x14ac:dyDescent="0.25">
      <c r="C18" s="29"/>
      <c r="J18" s="24"/>
      <c r="K18" s="24"/>
      <c r="L18" s="24"/>
      <c r="M18" s="24"/>
      <c r="N18" s="24"/>
      <c r="O18" s="24"/>
      <c r="P18" s="24"/>
      <c r="Q18" s="24"/>
      <c r="R18" s="24"/>
      <c r="S18" s="24"/>
    </row>
    <row r="19" spans="1:30" x14ac:dyDescent="0.2">
      <c r="C19" s="54" t="s">
        <v>147</v>
      </c>
      <c r="D19" s="147" t="s">
        <v>90</v>
      </c>
      <c r="E19" s="21" t="str">
        <f>$E$8</f>
        <v>$millions</v>
      </c>
      <c r="F19" s="68">
        <v>45444</v>
      </c>
      <c r="J19" s="73"/>
      <c r="K19" s="73"/>
      <c r="L19" s="73"/>
      <c r="M19" s="73"/>
      <c r="N19" s="73"/>
      <c r="O19" s="78">
        <f>INDEX($M$45:$S$46,MATCH($F19,$F$45:$F$46,0),MATCH(O$17,$M$44:$S$44,0))</f>
        <v>0.76049999999999995</v>
      </c>
      <c r="P19" s="78">
        <f>INDEX($M$45:$S$46,MATCH($F19,$F$45:$F$46,0),MATCH(P$17,$M$44:$S$44,0))</f>
        <v>1.5794999999999999</v>
      </c>
      <c r="Q19" s="78">
        <f>INDEX($M$45:$S$46,MATCH($F19,$F$45:$F$46,0),MATCH(Q$17,$M$44:$S$44,0))</f>
        <v>1.17</v>
      </c>
      <c r="R19" s="78">
        <f>INDEX($M$45:$S$46,MATCH($F19,$F$45:$F$46,0),MATCH(R$17,$M$44:$S$44,0))</f>
        <v>1.17</v>
      </c>
      <c r="S19" s="78">
        <f>INDEX($M$45:$S$46,MATCH($F19,$F$45:$F$46,0),MATCH(S$17,$M$44:$S$44,0))</f>
        <v>1.17</v>
      </c>
    </row>
    <row r="20" spans="1:30" x14ac:dyDescent="0.2">
      <c r="C20" s="54" t="str">
        <f>C19</f>
        <v>Climate resilience</v>
      </c>
      <c r="D20" s="21" t="s">
        <v>70</v>
      </c>
      <c r="E20" s="21" t="str">
        <f>$E$8</f>
        <v>$millions</v>
      </c>
      <c r="F20" s="70">
        <f t="shared" ref="F20" si="1">$F$8</f>
        <v>45444</v>
      </c>
      <c r="J20" s="73"/>
      <c r="K20" s="73"/>
      <c r="L20" s="73"/>
      <c r="M20" s="73"/>
      <c r="N20" s="73"/>
      <c r="O20" s="78">
        <f>O19*IF($F19="nominal",LOOKUP($F20,'Lookup|Tables'!Nominal_to_Real,'Calc|CPI Indexes'!P$31:P$42),INDEX('Calc|CPI Indexes'!$C$14:$T$27,MATCH($F19,'Calc|CPI Indexes'!$C$14:$C$27,0),MATCH($F20,'Calc|CPI Indexes'!$C$14:$T$14,0)))</f>
        <v>0.76049999999999995</v>
      </c>
      <c r="P20" s="78">
        <f>P19*IF($F19="nominal",LOOKUP($F20,'Lookup|Tables'!Nominal_to_Real,'Calc|CPI Indexes'!Q$31:Q$42),INDEX('Calc|CPI Indexes'!$C$14:$T$27,MATCH($F19,'Calc|CPI Indexes'!$C$14:$C$27,0),MATCH($F20,'Calc|CPI Indexes'!$C$14:$T$14,0)))</f>
        <v>1.5794999999999999</v>
      </c>
      <c r="Q20" s="78">
        <f>Q19*IF($F19="nominal",LOOKUP($F20,'Lookup|Tables'!Nominal_to_Real,'Calc|CPI Indexes'!R$31:R$42),INDEX('Calc|CPI Indexes'!$C$14:$T$27,MATCH($F19,'Calc|CPI Indexes'!$C$14:$C$27,0),MATCH($F20,'Calc|CPI Indexes'!$C$14:$T$14,0)))</f>
        <v>1.17</v>
      </c>
      <c r="R20" s="78">
        <f>R19*IF($F19="nominal",LOOKUP($F20,'Lookup|Tables'!Nominal_to_Real,'Calc|CPI Indexes'!S$31:S$42),INDEX('Calc|CPI Indexes'!$C$14:$T$27,MATCH($F19,'Calc|CPI Indexes'!$C$14:$C$27,0),MATCH($F20,'Calc|CPI Indexes'!$C$14:$T$14,0)))</f>
        <v>1.17</v>
      </c>
      <c r="S20" s="78">
        <f>S19*IF($F19="nominal",LOOKUP($F20,'Lookup|Tables'!Nominal_to_Real,'Calc|CPI Indexes'!T$31:T$42),INDEX('Calc|CPI Indexes'!$C$14:$T$27,MATCH($F19,'Calc|CPI Indexes'!$C$14:$C$27,0),MATCH($F20,'Calc|CPI Indexes'!$C$14:$T$14,0)))</f>
        <v>1.17</v>
      </c>
    </row>
    <row r="21" spans="1:30" x14ac:dyDescent="0.2">
      <c r="C21" s="72"/>
      <c r="F21" s="70"/>
      <c r="J21" s="73"/>
      <c r="K21" s="73"/>
      <c r="L21" s="73"/>
      <c r="M21" s="73"/>
      <c r="N21" s="73"/>
      <c r="O21" s="73"/>
      <c r="P21" s="73"/>
      <c r="Q21" s="73"/>
      <c r="R21" s="73"/>
      <c r="S21" s="73"/>
    </row>
    <row r="22" spans="1:30" s="19" customFormat="1" ht="13" x14ac:dyDescent="0.3">
      <c r="A22" s="12"/>
      <c r="B22" s="13" t="s">
        <v>93</v>
      </c>
      <c r="C22" s="12"/>
      <c r="D22" s="12"/>
      <c r="E22" s="12"/>
      <c r="F22" s="14"/>
      <c r="G22" s="14"/>
      <c r="H22" s="14"/>
      <c r="I22" s="14"/>
      <c r="J22" s="15"/>
      <c r="K22" s="16"/>
      <c r="L22" s="15"/>
      <c r="M22" s="16"/>
      <c r="N22" s="15"/>
      <c r="O22" s="15"/>
      <c r="P22" s="15"/>
      <c r="Q22" s="15"/>
      <c r="R22" s="15"/>
      <c r="S22" s="15"/>
      <c r="T22" s="15"/>
      <c r="U22" s="15"/>
      <c r="V22" s="16"/>
      <c r="W22" s="16"/>
      <c r="X22" s="17"/>
      <c r="Y22" s="17"/>
      <c r="Z22" s="17"/>
      <c r="AA22" s="17"/>
      <c r="AB22" s="17"/>
      <c r="AC22" s="18"/>
      <c r="AD22" s="18"/>
    </row>
    <row r="23" spans="1:30" x14ac:dyDescent="0.2">
      <c r="C23" s="54"/>
      <c r="J23" s="63"/>
      <c r="K23" s="63"/>
      <c r="L23" s="63"/>
    </row>
    <row r="24" spans="1:30" ht="10.5" x14ac:dyDescent="0.25">
      <c r="C24" s="29" t="s">
        <v>94</v>
      </c>
      <c r="D24" s="23" t="s">
        <v>45</v>
      </c>
      <c r="E24" s="23" t="s">
        <v>72</v>
      </c>
      <c r="F24" s="23" t="s">
        <v>78</v>
      </c>
      <c r="J24" s="61" t="str">
        <f>IF(YEAR(J$4)&gt;='Input|General'!$G$13,IF(YEAR(J$4)&lt;='Input|General'!$G$14,J$4,""),"")</f>
        <v/>
      </c>
      <c r="K24" s="61" t="str">
        <f>IF(YEAR(K$4)&gt;='Input|General'!$G$13,IF(YEAR(K$4)&lt;='Input|General'!$G$14,K$4,""),"")</f>
        <v/>
      </c>
      <c r="L24" s="61" t="str">
        <f>IF(YEAR(L$4)&gt;='Input|General'!$G$13,IF(YEAR(L$4)&lt;='Input|General'!$G$14,L$4,""),"")</f>
        <v/>
      </c>
      <c r="M24" s="61" t="str">
        <f>IF(YEAR(M$4)&gt;='Input|General'!$G$13,IF(YEAR(M$4)&lt;='Input|General'!$G$14,M$4,""),"")</f>
        <v/>
      </c>
      <c r="N24" s="61" t="str">
        <f>IF(YEAR(N$4)&gt;='Input|General'!$G$13,IF(YEAR(N$4)&lt;='Input|General'!$G$14,N$4,""),"")</f>
        <v/>
      </c>
      <c r="O24" s="154">
        <f>IF(YEAR(O$4)&gt;=FPFirstYear,IF(YEAR(O$4)&lt;=FPLastYear,O$4,""),"")</f>
        <v>45809</v>
      </c>
      <c r="P24" s="154">
        <f>IF(YEAR(P$4)&gt;=FPFirstYear,IF(YEAR(P$4)&lt;=FPLastYear,P$4,""),"")</f>
        <v>46174</v>
      </c>
      <c r="Q24" s="154">
        <f>IF(YEAR(Q$4)&gt;=FPFirstYear,IF(YEAR(Q$4)&lt;=FPLastYear,Q$4,""),"")</f>
        <v>46539</v>
      </c>
      <c r="R24" s="154">
        <f>IF(YEAR(R$4)&gt;=FPFirstYear,IF(YEAR(R$4)&lt;=FPLastYear,R$4,""),"")</f>
        <v>46905</v>
      </c>
      <c r="S24" s="154">
        <f>IF(YEAR(S$4)&gt;=FPFirstYear,IF(YEAR(S$4)&lt;=FPLastYear,S$4,""),"")</f>
        <v>47270</v>
      </c>
    </row>
    <row r="25" spans="1:30" ht="10.5" x14ac:dyDescent="0.25">
      <c r="C25" s="29"/>
      <c r="D25" s="23"/>
      <c r="E25" s="23"/>
      <c r="F25" s="23"/>
      <c r="J25" s="61"/>
      <c r="K25" s="61"/>
      <c r="L25" s="61"/>
      <c r="M25" s="61"/>
      <c r="N25" s="61"/>
      <c r="O25" s="61"/>
      <c r="P25" s="61"/>
      <c r="Q25" s="61"/>
      <c r="R25" s="61"/>
      <c r="S25" s="61"/>
    </row>
    <row r="26" spans="1:30" x14ac:dyDescent="0.2">
      <c r="C26" s="54" t="s">
        <v>148</v>
      </c>
      <c r="D26" s="21" t="s">
        <v>70</v>
      </c>
      <c r="E26" s="21" t="str">
        <f>$E$8</f>
        <v>$millions</v>
      </c>
      <c r="F26" s="70">
        <f>F20</f>
        <v>45444</v>
      </c>
      <c r="J26" s="73"/>
      <c r="K26" s="73"/>
      <c r="L26" s="73"/>
      <c r="M26" s="73"/>
      <c r="N26" s="73"/>
      <c r="O26" s="78">
        <f>O20</f>
        <v>0.76049999999999995</v>
      </c>
      <c r="P26" s="78">
        <f>P20</f>
        <v>1.5794999999999999</v>
      </c>
      <c r="Q26" s="78">
        <f>Q20</f>
        <v>1.17</v>
      </c>
      <c r="R26" s="78">
        <f>R20</f>
        <v>1.17</v>
      </c>
      <c r="S26" s="78">
        <f>S20</f>
        <v>1.17</v>
      </c>
    </row>
    <row r="27" spans="1:30" ht="10.5" x14ac:dyDescent="0.25">
      <c r="C27" s="54" t="s">
        <v>149</v>
      </c>
      <c r="D27" s="21" t="s">
        <v>70</v>
      </c>
      <c r="E27" s="21" t="str">
        <f>$E$8</f>
        <v>$millions</v>
      </c>
      <c r="F27" s="70">
        <f>F13</f>
        <v>45444</v>
      </c>
      <c r="J27" s="24"/>
      <c r="K27" s="24"/>
      <c r="L27" s="24"/>
      <c r="M27" s="24"/>
      <c r="N27" s="24"/>
      <c r="O27" s="78">
        <f>$M$13</f>
        <v>0</v>
      </c>
      <c r="P27" s="78">
        <f t="shared" ref="P27:S27" si="2">$M$13</f>
        <v>0</v>
      </c>
      <c r="Q27" s="78">
        <f t="shared" si="2"/>
        <v>0</v>
      </c>
      <c r="R27" s="78">
        <f t="shared" si="2"/>
        <v>0</v>
      </c>
      <c r="S27" s="78">
        <f t="shared" si="2"/>
        <v>0</v>
      </c>
    </row>
    <row r="28" spans="1:30" ht="3" customHeight="1" x14ac:dyDescent="0.2">
      <c r="F28" s="105"/>
      <c r="O28" s="100"/>
      <c r="P28" s="100"/>
      <c r="Q28" s="100"/>
      <c r="R28" s="100"/>
      <c r="S28" s="100"/>
    </row>
    <row r="29" spans="1:30" ht="10.5" x14ac:dyDescent="0.25">
      <c r="C29" s="74" t="s">
        <v>150</v>
      </c>
      <c r="D29" s="75" t="s">
        <v>70</v>
      </c>
      <c r="E29" s="75" t="str">
        <f>$E$8</f>
        <v>$millions</v>
      </c>
      <c r="F29" s="76">
        <f>F27</f>
        <v>45444</v>
      </c>
      <c r="G29" s="23"/>
      <c r="H29" s="23"/>
      <c r="I29" s="23"/>
      <c r="J29" s="77"/>
      <c r="K29" s="77"/>
      <c r="L29" s="77"/>
      <c r="M29" s="77"/>
      <c r="N29" s="77"/>
      <c r="O29" s="79">
        <f>O26-O27</f>
        <v>0.76049999999999995</v>
      </c>
      <c r="P29" s="79">
        <f>P26-P27</f>
        <v>1.5794999999999999</v>
      </c>
      <c r="Q29" s="79">
        <f>Q26-Q27</f>
        <v>1.17</v>
      </c>
      <c r="R29" s="79">
        <f>R26-R27</f>
        <v>1.17</v>
      </c>
      <c r="S29" s="79">
        <f>S26-S27</f>
        <v>1.17</v>
      </c>
    </row>
    <row r="30" spans="1:30" ht="10.5" x14ac:dyDescent="0.25">
      <c r="C30" s="23"/>
      <c r="D30" s="23"/>
      <c r="E30" s="23"/>
      <c r="F30" s="76"/>
      <c r="G30" s="23"/>
      <c r="H30" s="23"/>
      <c r="I30" s="23"/>
      <c r="J30" s="77"/>
      <c r="K30" s="77"/>
      <c r="L30" s="77"/>
      <c r="M30" s="77"/>
      <c r="N30" s="77"/>
      <c r="O30" s="77"/>
      <c r="P30" s="77"/>
      <c r="Q30" s="77"/>
      <c r="R30" s="77"/>
      <c r="S30" s="77"/>
      <c r="T30" s="77"/>
      <c r="U30" s="77"/>
    </row>
    <row r="31" spans="1:30" s="19" customFormat="1" ht="13" x14ac:dyDescent="0.3">
      <c r="A31" s="12"/>
      <c r="B31" s="13" t="s">
        <v>98</v>
      </c>
      <c r="C31" s="12"/>
      <c r="D31" s="12"/>
      <c r="E31" s="12"/>
      <c r="F31" s="14"/>
      <c r="G31" s="14"/>
      <c r="H31" s="14"/>
      <c r="I31" s="14"/>
      <c r="J31" s="15"/>
      <c r="K31" s="16"/>
      <c r="L31" s="15"/>
      <c r="M31" s="16"/>
      <c r="N31" s="15"/>
      <c r="O31" s="15"/>
      <c r="P31" s="15"/>
      <c r="Q31" s="15"/>
      <c r="R31" s="15"/>
      <c r="S31" s="15"/>
      <c r="T31" s="15"/>
      <c r="U31" s="15"/>
      <c r="V31" s="16"/>
      <c r="W31" s="16"/>
      <c r="X31" s="17"/>
      <c r="Y31" s="17"/>
      <c r="Z31" s="17"/>
      <c r="AA31" s="17"/>
      <c r="AB31" s="17"/>
      <c r="AC31" s="18"/>
      <c r="AD31" s="18"/>
    </row>
    <row r="32" spans="1:30" x14ac:dyDescent="0.2">
      <c r="C32" s="54"/>
      <c r="D32" s="63"/>
      <c r="E32" s="63"/>
      <c r="F32" s="108"/>
      <c r="G32" s="63"/>
      <c r="H32" s="63"/>
      <c r="I32" s="63"/>
      <c r="J32" s="73"/>
      <c r="K32" s="73"/>
      <c r="L32" s="73"/>
      <c r="M32" s="73"/>
      <c r="N32" s="73"/>
      <c r="O32" s="78"/>
      <c r="P32" s="78"/>
      <c r="Q32" s="78"/>
      <c r="R32" s="78"/>
      <c r="S32" s="78"/>
    </row>
    <row r="33" spans="3:19" ht="10.5" x14ac:dyDescent="0.25">
      <c r="C33" s="29" t="s">
        <v>151</v>
      </c>
      <c r="D33" s="23" t="s">
        <v>45</v>
      </c>
      <c r="E33" s="23" t="s">
        <v>72</v>
      </c>
      <c r="F33" s="23" t="s">
        <v>78</v>
      </c>
      <c r="H33" s="63"/>
      <c r="I33" s="119"/>
      <c r="J33" s="119" t="s">
        <v>152</v>
      </c>
      <c r="L33" s="73"/>
      <c r="M33" s="73"/>
      <c r="N33" s="73"/>
      <c r="O33" s="120" t="s">
        <v>153</v>
      </c>
      <c r="P33" s="78"/>
      <c r="Q33" s="78"/>
      <c r="R33" s="78"/>
      <c r="S33" s="78"/>
    </row>
    <row r="34" spans="3:19" x14ac:dyDescent="0.2">
      <c r="C34" s="54" t="s">
        <v>154</v>
      </c>
      <c r="D34" s="147" t="s">
        <v>90</v>
      </c>
      <c r="E34" s="21" t="s">
        <v>101</v>
      </c>
      <c r="F34" s="68">
        <v>45444</v>
      </c>
      <c r="H34" s="63"/>
      <c r="I34" s="20"/>
      <c r="J34" s="20" t="s">
        <v>155</v>
      </c>
      <c r="L34" s="73"/>
      <c r="M34" s="73"/>
      <c r="N34" s="73"/>
      <c r="O34" s="111">
        <v>3150000</v>
      </c>
      <c r="P34" s="78"/>
      <c r="Q34" s="78"/>
      <c r="R34" s="78"/>
      <c r="S34" s="78"/>
    </row>
    <row r="35" spans="3:19" x14ac:dyDescent="0.2">
      <c r="C35" s="54" t="s">
        <v>156</v>
      </c>
      <c r="D35" s="147" t="s">
        <v>90</v>
      </c>
      <c r="E35" s="21" t="s">
        <v>101</v>
      </c>
      <c r="F35" s="68">
        <v>45444</v>
      </c>
      <c r="H35" s="63"/>
      <c r="I35" s="20"/>
      <c r="J35" s="20" t="s">
        <v>157</v>
      </c>
      <c r="L35" s="73"/>
      <c r="M35" s="73"/>
      <c r="N35" s="73"/>
      <c r="O35" s="111">
        <v>1750000</v>
      </c>
      <c r="P35" s="78"/>
      <c r="Q35" s="78"/>
      <c r="R35" s="78"/>
      <c r="S35" s="78"/>
    </row>
    <row r="36" spans="3:19" x14ac:dyDescent="0.2">
      <c r="C36" s="54" t="s">
        <v>158</v>
      </c>
      <c r="D36" s="147" t="s">
        <v>90</v>
      </c>
      <c r="E36" s="21" t="s">
        <v>101</v>
      </c>
      <c r="F36" s="68">
        <v>45444</v>
      </c>
      <c r="H36" s="63"/>
      <c r="I36" s="20"/>
      <c r="J36" s="20" t="s">
        <v>157</v>
      </c>
      <c r="L36" s="73"/>
      <c r="M36" s="73"/>
      <c r="N36" s="73"/>
      <c r="O36" s="111">
        <v>200000</v>
      </c>
      <c r="P36" s="78"/>
      <c r="Q36" s="78"/>
      <c r="R36" s="78"/>
      <c r="S36" s="78"/>
    </row>
    <row r="37" spans="3:19" x14ac:dyDescent="0.2">
      <c r="C37" s="54" t="s">
        <v>159</v>
      </c>
      <c r="D37" s="147" t="s">
        <v>90</v>
      </c>
      <c r="E37" s="21" t="s">
        <v>101</v>
      </c>
      <c r="F37" s="68">
        <v>45444</v>
      </c>
      <c r="H37" s="63"/>
      <c r="I37" s="20"/>
      <c r="J37" s="20" t="s">
        <v>157</v>
      </c>
      <c r="L37" s="73"/>
      <c r="M37" s="73"/>
      <c r="N37" s="73"/>
      <c r="O37" s="111">
        <v>350000</v>
      </c>
      <c r="P37" s="78"/>
      <c r="Q37" s="78"/>
      <c r="R37" s="78"/>
      <c r="S37" s="78"/>
    </row>
    <row r="38" spans="3:19" x14ac:dyDescent="0.2">
      <c r="C38" s="54" t="s">
        <v>160</v>
      </c>
      <c r="D38" s="147" t="s">
        <v>90</v>
      </c>
      <c r="E38" s="21" t="s">
        <v>101</v>
      </c>
      <c r="F38" s="68">
        <v>45444</v>
      </c>
      <c r="H38" s="63"/>
      <c r="I38" s="20"/>
      <c r="J38" s="20" t="s">
        <v>157</v>
      </c>
      <c r="L38" s="73"/>
      <c r="M38" s="73"/>
      <c r="N38" s="73"/>
      <c r="O38" s="111">
        <v>400000</v>
      </c>
      <c r="P38" s="78"/>
      <c r="Q38" s="78"/>
      <c r="R38" s="78"/>
      <c r="S38" s="78"/>
    </row>
    <row r="39" spans="3:19" ht="10.5" x14ac:dyDescent="0.25">
      <c r="C39" s="106" t="s">
        <v>161</v>
      </c>
      <c r="D39" s="21" t="s">
        <v>70</v>
      </c>
      <c r="E39" s="70" t="str">
        <f>E38</f>
        <v>$dollars</v>
      </c>
      <c r="F39" s="108">
        <f>F38</f>
        <v>45444</v>
      </c>
      <c r="H39" s="63"/>
      <c r="I39" s="63"/>
      <c r="J39" s="73"/>
      <c r="L39" s="73"/>
      <c r="M39" s="73"/>
      <c r="N39" s="73"/>
      <c r="O39" s="113">
        <f>SUM(O34:O38)</f>
        <v>5850000</v>
      </c>
      <c r="P39" s="78"/>
      <c r="Q39" s="78"/>
      <c r="R39" s="78"/>
      <c r="S39" s="78"/>
    </row>
    <row r="40" spans="3:19" x14ac:dyDescent="0.2">
      <c r="C40" s="63"/>
      <c r="D40" s="63"/>
      <c r="E40" s="63"/>
      <c r="F40" s="63"/>
      <c r="G40" s="63"/>
      <c r="H40" s="63"/>
      <c r="I40" s="63"/>
      <c r="J40" s="73"/>
      <c r="K40" s="73"/>
      <c r="L40" s="73"/>
      <c r="M40" s="73"/>
      <c r="N40" s="73"/>
      <c r="O40" s="78"/>
      <c r="P40" s="78"/>
      <c r="Q40" s="78"/>
      <c r="R40" s="78"/>
      <c r="S40" s="78"/>
    </row>
    <row r="41" spans="3:19" ht="10.5" x14ac:dyDescent="0.25">
      <c r="D41" s="63"/>
      <c r="E41" s="63"/>
      <c r="F41" s="63"/>
      <c r="G41" s="63"/>
      <c r="H41" s="63"/>
      <c r="I41" s="63"/>
      <c r="J41" s="73"/>
      <c r="K41" s="73"/>
      <c r="L41" s="73"/>
      <c r="M41" s="73"/>
      <c r="N41" s="73"/>
      <c r="O41" s="154">
        <f>IF(YEAR(O$4)&gt;=FPFirstYear,IF(YEAR(O$4)&lt;=FPLastYear,O$4,""),"")</f>
        <v>45809</v>
      </c>
      <c r="P41" s="154">
        <f>IF(YEAR(P$4)&gt;=FPFirstYear,IF(YEAR(P$4)&lt;=FPLastYear,P$4,""),"")</f>
        <v>46174</v>
      </c>
      <c r="Q41" s="154">
        <f>IF(YEAR(Q$4)&gt;=FPFirstYear,IF(YEAR(Q$4)&lt;=FPLastYear,Q$4,""),"")</f>
        <v>46539</v>
      </c>
      <c r="R41" s="154">
        <f>IF(YEAR(R$4)&gt;=FPFirstYear,IF(YEAR(R$4)&lt;=FPLastYear,R$4,""),"")</f>
        <v>46905</v>
      </c>
      <c r="S41" s="154">
        <f>IF(YEAR(S$4)&gt;=FPFirstYear,IF(YEAR(S$4)&lt;=FPLastYear,S$4,""),"")</f>
        <v>47270</v>
      </c>
    </row>
    <row r="42" spans="3:19" ht="10.5" x14ac:dyDescent="0.25">
      <c r="C42" s="29" t="s">
        <v>162</v>
      </c>
      <c r="D42" s="147" t="s">
        <v>90</v>
      </c>
      <c r="E42" s="21" t="s">
        <v>82</v>
      </c>
      <c r="F42" s="108"/>
      <c r="G42" s="63"/>
      <c r="H42" s="63"/>
      <c r="I42" s="63"/>
      <c r="J42" s="73"/>
      <c r="K42" s="73"/>
      <c r="L42" s="73"/>
      <c r="M42" s="73"/>
      <c r="N42" s="73"/>
      <c r="O42" s="128">
        <v>0.13</v>
      </c>
      <c r="P42" s="128">
        <v>0.27</v>
      </c>
      <c r="Q42" s="128">
        <v>0.2</v>
      </c>
      <c r="R42" s="128">
        <v>0.2</v>
      </c>
      <c r="S42" s="128">
        <v>0.2</v>
      </c>
    </row>
    <row r="43" spans="3:19" x14ac:dyDescent="0.2">
      <c r="C43" s="54"/>
      <c r="D43" s="63"/>
      <c r="E43" s="63"/>
      <c r="F43" s="108"/>
      <c r="G43" s="63"/>
      <c r="H43" s="63"/>
      <c r="I43" s="63"/>
      <c r="J43" s="73"/>
      <c r="K43" s="73"/>
      <c r="L43" s="73"/>
      <c r="M43" s="73"/>
      <c r="N43" s="73"/>
      <c r="O43" s="78"/>
      <c r="P43" s="78"/>
      <c r="Q43" s="78"/>
      <c r="R43" s="78"/>
      <c r="S43" s="78"/>
    </row>
    <row r="44" spans="3:19" ht="10.5" x14ac:dyDescent="0.25">
      <c r="C44" s="29" t="s">
        <v>163</v>
      </c>
      <c r="D44" s="63"/>
      <c r="E44" s="63"/>
      <c r="F44" s="108"/>
      <c r="G44" s="63"/>
      <c r="H44" s="63"/>
      <c r="I44" s="63"/>
      <c r="J44" s="73"/>
      <c r="K44" s="73"/>
      <c r="L44" s="73"/>
      <c r="M44" s="112"/>
      <c r="N44" s="112"/>
      <c r="O44" s="154">
        <f>IF(YEAR(O$4)&gt;=FPFirstYear,IF(YEAR(O$4)&lt;=FPLastYear,O$4,""),"")</f>
        <v>45809</v>
      </c>
      <c r="P44" s="154">
        <f>IF(YEAR(P$4)&gt;=FPFirstYear,IF(YEAR(P$4)&lt;=FPLastYear,P$4,""),"")</f>
        <v>46174</v>
      </c>
      <c r="Q44" s="154">
        <f>IF(YEAR(Q$4)&gt;=FPFirstYear,IF(YEAR(Q$4)&lt;=FPLastYear,Q$4,""),"")</f>
        <v>46539</v>
      </c>
      <c r="R44" s="154">
        <f>IF(YEAR(R$4)&gt;=FPFirstYear,IF(YEAR(R$4)&lt;=FPLastYear,R$4,""),"")</f>
        <v>46905</v>
      </c>
      <c r="S44" s="154">
        <f>IF(YEAR(S$4)&gt;=FPFirstYear,IF(YEAR(S$4)&lt;=FPLastYear,S$4,""),"")</f>
        <v>47270</v>
      </c>
    </row>
    <row r="45" spans="3:19" x14ac:dyDescent="0.2">
      <c r="C45" s="54" t="s">
        <v>164</v>
      </c>
      <c r="D45" s="21" t="s">
        <v>70</v>
      </c>
      <c r="E45" s="63" t="str">
        <f>$E$8</f>
        <v>$millions</v>
      </c>
      <c r="F45" s="108">
        <f>F39</f>
        <v>45444</v>
      </c>
      <c r="G45" s="63"/>
      <c r="H45" s="63"/>
      <c r="I45" s="63"/>
      <c r="J45" s="73"/>
      <c r="K45" s="73"/>
      <c r="L45" s="73"/>
      <c r="M45" s="73"/>
      <c r="N45" s="73"/>
      <c r="O45" s="78">
        <f>$O$39/10^6*O$42</f>
        <v>0.76049999999999995</v>
      </c>
      <c r="P45" s="78">
        <f>$O$39/10^6*P$42</f>
        <v>1.5794999999999999</v>
      </c>
      <c r="Q45" s="78">
        <f>$O$39/10^6*Q$42</f>
        <v>1.17</v>
      </c>
      <c r="R45" s="78">
        <f>$O$39/10^6*R$42</f>
        <v>1.17</v>
      </c>
      <c r="S45" s="78">
        <f>$O$39/10^6*S$42</f>
        <v>1.17</v>
      </c>
    </row>
    <row r="46" spans="3:19" x14ac:dyDescent="0.2">
      <c r="C46" s="54" t="s">
        <v>164</v>
      </c>
      <c r="D46" s="21" t="s">
        <v>70</v>
      </c>
      <c r="E46" s="63" t="str">
        <f>$E$8</f>
        <v>$millions</v>
      </c>
      <c r="F46" s="108">
        <f>$F$8</f>
        <v>45444</v>
      </c>
      <c r="G46" s="63"/>
      <c r="H46" s="63"/>
      <c r="I46" s="63"/>
      <c r="J46" s="73"/>
      <c r="K46" s="73"/>
      <c r="L46" s="73"/>
      <c r="M46" s="73"/>
      <c r="N46" s="73"/>
      <c r="O46" s="78">
        <f>O45*IF($F45="nominal",LOOKUP($F46,'Lookup|Tables'!Nominal_to_Real,'Calc|CPI Indexes'!P$31:P$42),INDEX('Calc|CPI Indexes'!$C$14:$T$27,MATCH($F45,'Calc|CPI Indexes'!$C$14:$C$27,0),MATCH($F46,'Calc|CPI Indexes'!$C$14:$T$14,0)))</f>
        <v>0.76049999999999995</v>
      </c>
      <c r="P46" s="78">
        <f>P45*IF($F45="nominal",LOOKUP($F46,'Lookup|Tables'!Nominal_to_Real,'Calc|CPI Indexes'!Q$31:Q$42),INDEX('Calc|CPI Indexes'!$C$14:$T$27,MATCH($F45,'Calc|CPI Indexes'!$C$14:$C$27,0),MATCH($F46,'Calc|CPI Indexes'!$C$14:$T$14,0)))</f>
        <v>1.5794999999999999</v>
      </c>
      <c r="Q46" s="78">
        <f>Q45*IF($F45="nominal",LOOKUP($F46,'Lookup|Tables'!Nominal_to_Real,'Calc|CPI Indexes'!R$31:R$42),INDEX('Calc|CPI Indexes'!$C$14:$T$27,MATCH($F45,'Calc|CPI Indexes'!$C$14:$C$27,0),MATCH($F46,'Calc|CPI Indexes'!$C$14:$T$14,0)))</f>
        <v>1.17</v>
      </c>
      <c r="R46" s="78">
        <f>R45*IF($F45="nominal",LOOKUP($F46,'Lookup|Tables'!Nominal_to_Real,'Calc|CPI Indexes'!S$31:S$42),INDEX('Calc|CPI Indexes'!$C$14:$T$27,MATCH($F45,'Calc|CPI Indexes'!$C$14:$C$27,0),MATCH($F46,'Calc|CPI Indexes'!$C$14:$T$14,0)))</f>
        <v>1.17</v>
      </c>
      <c r="S46" s="78">
        <f>S45*IF($F45="nominal",LOOKUP($F46,'Lookup|Tables'!Nominal_to_Real,'Calc|CPI Indexes'!T$31:T$42),INDEX('Calc|CPI Indexes'!$C$14:$T$27,MATCH($F45,'Calc|CPI Indexes'!$C$14:$C$27,0),MATCH($F46,'Calc|CPI Indexes'!$C$14:$T$14,0)))</f>
        <v>1.17</v>
      </c>
    </row>
    <row r="47" spans="3:19" x14ac:dyDescent="0.2">
      <c r="C47" s="54"/>
      <c r="D47" s="63"/>
      <c r="E47" s="63"/>
      <c r="F47" s="108"/>
      <c r="G47" s="63"/>
      <c r="H47" s="63"/>
      <c r="I47" s="63"/>
      <c r="J47" s="73"/>
      <c r="K47" s="73"/>
      <c r="L47" s="73"/>
      <c r="M47" s="73"/>
      <c r="N47" s="73"/>
      <c r="O47" s="78"/>
      <c r="P47" s="78"/>
      <c r="Q47" s="78"/>
      <c r="R47" s="78"/>
      <c r="S47" s="78"/>
    </row>
    <row r="48" spans="3:19" x14ac:dyDescent="0.2">
      <c r="C48" s="54"/>
      <c r="D48" s="63"/>
      <c r="E48" s="63"/>
      <c r="F48" s="108"/>
      <c r="G48" s="63"/>
      <c r="H48" s="63"/>
      <c r="I48" s="63"/>
      <c r="J48" s="73"/>
      <c r="K48" s="73"/>
      <c r="L48" s="73"/>
      <c r="M48" s="73"/>
      <c r="N48" s="73"/>
      <c r="O48" s="78"/>
      <c r="P48" s="78"/>
      <c r="Q48" s="78"/>
      <c r="R48" s="78"/>
      <c r="S48" s="78"/>
    </row>
    <row r="49" spans="1:30" s="19" customFormat="1" ht="13" x14ac:dyDescent="0.3">
      <c r="A49" s="12"/>
      <c r="B49" s="13" t="s">
        <v>41</v>
      </c>
      <c r="C49" s="12"/>
      <c r="D49" s="12"/>
      <c r="E49" s="12"/>
      <c r="F49" s="14"/>
      <c r="G49" s="14"/>
      <c r="H49" s="14"/>
      <c r="I49" s="14"/>
      <c r="J49" s="15"/>
      <c r="K49" s="16"/>
      <c r="L49" s="15"/>
      <c r="M49" s="16"/>
      <c r="N49" s="15"/>
      <c r="O49" s="15"/>
      <c r="P49" s="15"/>
      <c r="Q49" s="15"/>
      <c r="R49" s="15"/>
      <c r="S49" s="15"/>
      <c r="T49" s="15"/>
      <c r="U49" s="15"/>
      <c r="V49" s="16"/>
      <c r="W49" s="16"/>
      <c r="X49" s="17"/>
      <c r="Y49" s="17"/>
      <c r="Z49" s="17"/>
      <c r="AA49" s="17"/>
      <c r="AB49" s="17"/>
      <c r="AC49" s="18"/>
      <c r="AD49" s="18"/>
    </row>
  </sheetData>
  <mergeCells count="1">
    <mergeCell ref="N3:S3"/>
  </mergeCells>
  <conditionalFormatting sqref="O17:S17">
    <cfRule type="expression" dxfId="29" priority="4">
      <formula>O$10=O$4</formula>
    </cfRule>
  </conditionalFormatting>
  <conditionalFormatting sqref="O24:S24">
    <cfRule type="expression" dxfId="28" priority="3">
      <formula>O$10=O$4</formula>
    </cfRule>
  </conditionalFormatting>
  <conditionalFormatting sqref="O41:S41">
    <cfRule type="expression" dxfId="27" priority="2">
      <formula>O$10=O$4</formula>
    </cfRule>
  </conditionalFormatting>
  <conditionalFormatting sqref="O44:S44">
    <cfRule type="expression" dxfId="26" priority="1">
      <formula>O$10=O$4</formula>
    </cfRule>
  </conditionalFormatting>
  <dataValidations count="1">
    <dataValidation type="list" allowBlank="1" showInputMessage="1" showErrorMessage="1" sqref="F12 F19" xr:uid="{E7BA570D-4CCF-4025-B74A-AAA55D5DFE52}">
      <formula1>$F$45:$F$46</formula1>
    </dataValidation>
  </dataValidations>
  <pageMargins left="0.7" right="0.7" top="0.75" bottom="0.75" header="0.3" footer="0.3"/>
  <pageSetup paperSize="9" orientation="portrait" verticalDpi="4" r:id="rId1"/>
  <headerFooter>
    <oddFooter>&amp;L&amp;1#&amp;"Calibri"&amp;8&amp;K000000For Official use only</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805A1-2E41-4102-BD1E-C91FA1A975F0}">
  <sheetPr codeName="Sheet8">
    <tabColor rgb="FFCCFFCC"/>
  </sheetPr>
  <dimension ref="A1:AD47"/>
  <sheetViews>
    <sheetView showGridLines="0" zoomScaleNormal="100" workbookViewId="0"/>
  </sheetViews>
  <sheetFormatPr defaultColWidth="0" defaultRowHeight="10.25" customHeight="1" zeroHeight="1" x14ac:dyDescent="0.2"/>
  <cols>
    <col min="1" max="2" width="1.1796875" style="20" customWidth="1"/>
    <col min="3" max="3" width="62.54296875" style="20" bestFit="1" customWidth="1"/>
    <col min="4" max="4" width="22.54296875" style="21" customWidth="1"/>
    <col min="5" max="5" width="12.81640625" style="21" customWidth="1"/>
    <col min="6" max="6" width="8.81640625" style="21" customWidth="1"/>
    <col min="7" max="9" width="2.81640625" style="21" customWidth="1"/>
    <col min="10" max="23" width="8.81640625" style="20" customWidth="1"/>
    <col min="24" max="38" width="8.54296875" style="20" hidden="1" customWidth="1"/>
    <col min="39" max="16384" width="8.54296875" style="20" hidden="1"/>
  </cols>
  <sheetData>
    <row r="1" spans="1:30" s="1" customFormat="1" ht="15.5" x14ac:dyDescent="0.35">
      <c r="B1" s="2" t="s">
        <v>42</v>
      </c>
      <c r="C1" s="2"/>
      <c r="D1" s="2"/>
      <c r="E1" s="2"/>
      <c r="F1" s="2"/>
      <c r="G1" s="2"/>
      <c r="H1" s="2"/>
      <c r="I1" s="2"/>
      <c r="J1" s="2"/>
      <c r="K1" s="2"/>
      <c r="L1" s="95" t="s">
        <v>58</v>
      </c>
      <c r="M1" s="96" t="s">
        <v>59</v>
      </c>
      <c r="N1" s="97" t="s">
        <v>61</v>
      </c>
      <c r="O1" s="2"/>
      <c r="P1" s="2"/>
      <c r="Q1" s="2"/>
      <c r="R1" s="2"/>
      <c r="S1" s="2"/>
      <c r="T1" s="2"/>
      <c r="U1" s="2"/>
      <c r="V1" s="2"/>
      <c r="W1" s="2"/>
    </row>
    <row r="2" spans="1:30" s="7" customFormat="1" ht="13.5" thickBot="1" x14ac:dyDescent="0.35">
      <c r="B2" s="8" t="s">
        <v>165</v>
      </c>
      <c r="C2" s="8"/>
      <c r="D2" s="8"/>
      <c r="E2" s="8"/>
      <c r="F2" s="9"/>
      <c r="G2" s="9"/>
      <c r="H2" s="9"/>
      <c r="I2" s="9"/>
    </row>
    <row r="3" spans="1:30" s="38" customFormat="1" ht="14.75" customHeight="1" x14ac:dyDescent="0.25">
      <c r="D3" s="39"/>
      <c r="E3" s="39"/>
      <c r="F3" s="39"/>
      <c r="G3" s="39"/>
      <c r="H3" s="39"/>
      <c r="I3" s="39"/>
      <c r="J3" s="64" t="s">
        <v>50</v>
      </c>
      <c r="K3" s="64"/>
      <c r="L3" s="64"/>
      <c r="M3" s="39"/>
      <c r="N3" s="202"/>
      <c r="O3" s="202"/>
      <c r="P3" s="202"/>
      <c r="Q3" s="202"/>
      <c r="R3" s="202"/>
      <c r="S3" s="202"/>
      <c r="T3" s="41"/>
      <c r="U3" s="41"/>
      <c r="V3" s="41"/>
      <c r="W3" s="41"/>
      <c r="X3" s="41"/>
      <c r="Y3" s="41"/>
      <c r="Z3" s="41"/>
    </row>
    <row r="4" spans="1:30" s="19" customFormat="1" ht="10" x14ac:dyDescent="0.2">
      <c r="A4" s="42"/>
      <c r="B4" s="42"/>
      <c r="C4" s="42"/>
      <c r="D4" s="43" t="s">
        <v>45</v>
      </c>
      <c r="E4" s="43" t="s">
        <v>72</v>
      </c>
      <c r="F4" s="44" t="s">
        <v>78</v>
      </c>
      <c r="G4" s="45"/>
      <c r="H4" s="45"/>
      <c r="I4" s="45"/>
      <c r="J4" s="46">
        <f>DATE(PPFirstYear,MONTH('Input|General'!$G$9),1)</f>
        <v>43983</v>
      </c>
      <c r="K4" s="46">
        <f>DATE(PPFirstYear+1,MONTH('Input|General'!$G$9),1)</f>
        <v>44348</v>
      </c>
      <c r="L4" s="46">
        <f>DATE(PPFirstYear+2,MONTH('Input|General'!$G$9),1)</f>
        <v>44713</v>
      </c>
      <c r="M4" s="46">
        <f>DATE(PPFirstYear+3,MONTH('Input|General'!$G$9),1)</f>
        <v>45078</v>
      </c>
      <c r="N4" s="46">
        <f>DATE(PPFirstYear+4,MONTH('Input|General'!$G$9),1)</f>
        <v>45444</v>
      </c>
      <c r="O4" s="46">
        <f>DATE(PPFirstYear+5,MONTH('Input|General'!$G$9),1)</f>
        <v>45809</v>
      </c>
      <c r="P4" s="46">
        <f>DATE(PPFirstYear+6,MONTH('Input|General'!$G$9),1)</f>
        <v>46174</v>
      </c>
      <c r="Q4" s="46">
        <f>DATE(PPFirstYear+7,MONTH('Input|General'!$G$9),1)</f>
        <v>46539</v>
      </c>
      <c r="R4" s="46">
        <f>DATE(PPFirstYear+8,MONTH('Input|General'!$G$9),1)</f>
        <v>46905</v>
      </c>
      <c r="S4" s="46">
        <f>DATE(PPFirstYear+9,MONTH('Input|General'!$G$9),1)</f>
        <v>47270</v>
      </c>
      <c r="T4" s="47"/>
      <c r="U4" s="47"/>
      <c r="V4" s="48"/>
      <c r="W4" s="48"/>
    </row>
    <row r="5" spans="1:30" s="10" customFormat="1" ht="3" customHeight="1" x14ac:dyDescent="0.2">
      <c r="D5" s="11"/>
      <c r="E5" s="11"/>
      <c r="F5" s="11"/>
      <c r="G5" s="11"/>
      <c r="H5" s="11"/>
      <c r="I5" s="11"/>
    </row>
    <row r="6" spans="1:30" s="10" customFormat="1" ht="10" x14ac:dyDescent="0.2">
      <c r="D6" s="11"/>
      <c r="E6" s="11"/>
      <c r="F6" s="11"/>
      <c r="G6" s="11"/>
      <c r="H6" s="11"/>
      <c r="I6" s="11"/>
    </row>
    <row r="7" spans="1:30" s="10" customFormat="1" ht="3" customHeight="1" x14ac:dyDescent="0.2">
      <c r="D7" s="11"/>
      <c r="E7" s="11"/>
      <c r="F7" s="11"/>
      <c r="G7" s="11"/>
      <c r="H7" s="11"/>
      <c r="I7" s="11"/>
    </row>
    <row r="8" spans="1:30" s="19" customFormat="1" ht="13" x14ac:dyDescent="0.3">
      <c r="A8" s="12"/>
      <c r="B8" s="13" t="s">
        <v>86</v>
      </c>
      <c r="C8" s="12"/>
      <c r="D8" s="12"/>
      <c r="E8" s="65" t="s">
        <v>87</v>
      </c>
      <c r="F8" s="81">
        <f>DATE(PPLastYear,MONTH('Input|General'!G9),1)</f>
        <v>45444</v>
      </c>
      <c r="G8" s="14"/>
      <c r="H8" s="14"/>
      <c r="I8" s="14"/>
      <c r="J8" s="15"/>
      <c r="K8" s="16"/>
      <c r="L8" s="15"/>
      <c r="M8" s="16"/>
      <c r="N8" s="15"/>
      <c r="O8" s="15"/>
      <c r="P8" s="15"/>
      <c r="Q8" s="15"/>
      <c r="R8" s="15"/>
      <c r="S8" s="15"/>
      <c r="T8" s="15"/>
      <c r="U8" s="15"/>
      <c r="V8" s="16"/>
      <c r="W8" s="16"/>
      <c r="X8" s="17"/>
      <c r="Y8" s="17"/>
      <c r="Z8" s="17"/>
      <c r="AA8" s="17"/>
      <c r="AB8" s="17"/>
      <c r="AC8" s="18"/>
      <c r="AD8" s="18"/>
    </row>
    <row r="9" spans="1:30" ht="10" x14ac:dyDescent="0.2"/>
    <row r="10" spans="1:30" ht="10.5" x14ac:dyDescent="0.25">
      <c r="C10" s="29" t="s">
        <v>88</v>
      </c>
      <c r="D10" s="23" t="s">
        <v>45</v>
      </c>
      <c r="E10" s="23" t="s">
        <v>72</v>
      </c>
      <c r="F10" s="23" t="s">
        <v>78</v>
      </c>
      <c r="J10" s="61">
        <f t="shared" ref="J10:S10" si="0">IF(YEAR(J$4)&lt;=PPLastYear,J$4,"")</f>
        <v>43983</v>
      </c>
      <c r="K10" s="61">
        <f t="shared" si="0"/>
        <v>44348</v>
      </c>
      <c r="L10" s="61">
        <f t="shared" si="0"/>
        <v>44713</v>
      </c>
      <c r="M10" s="61">
        <f t="shared" si="0"/>
        <v>45078</v>
      </c>
      <c r="N10" s="61">
        <f t="shared" si="0"/>
        <v>45444</v>
      </c>
      <c r="O10" s="61" t="str">
        <f t="shared" si="0"/>
        <v/>
      </c>
      <c r="P10" s="61" t="str">
        <f t="shared" si="0"/>
        <v/>
      </c>
      <c r="Q10" s="61" t="str">
        <f t="shared" si="0"/>
        <v/>
      </c>
      <c r="R10" s="61" t="str">
        <f t="shared" si="0"/>
        <v/>
      </c>
      <c r="S10" s="61" t="str">
        <f t="shared" si="0"/>
        <v/>
      </c>
    </row>
    <row r="11" spans="1:30" ht="10" x14ac:dyDescent="0.2">
      <c r="C11" s="54"/>
      <c r="J11" s="63"/>
      <c r="K11" s="63"/>
      <c r="L11" s="63"/>
      <c r="M11" s="63"/>
      <c r="N11" s="63"/>
      <c r="O11" s="63"/>
      <c r="P11" s="63"/>
      <c r="Q11" s="63"/>
      <c r="R11" s="63"/>
      <c r="S11" s="63"/>
    </row>
    <row r="12" spans="1:30" ht="10" x14ac:dyDescent="0.2">
      <c r="C12" s="54" t="s">
        <v>166</v>
      </c>
      <c r="D12" s="147" t="s">
        <v>90</v>
      </c>
      <c r="E12" s="21" t="str">
        <f>$E$8</f>
        <v>$millions</v>
      </c>
      <c r="F12" s="68" t="s">
        <v>107</v>
      </c>
      <c r="J12" s="69"/>
      <c r="K12" s="69"/>
      <c r="L12" s="69"/>
      <c r="M12" s="80">
        <v>0</v>
      </c>
      <c r="N12" s="63"/>
      <c r="O12" s="78"/>
      <c r="P12" s="78"/>
      <c r="Q12" s="78"/>
      <c r="R12" s="78"/>
      <c r="S12" s="78"/>
    </row>
    <row r="13" spans="1:30" ht="10.5" x14ac:dyDescent="0.25">
      <c r="C13" s="54" t="str">
        <f>C12</f>
        <v>Smart meter data</v>
      </c>
      <c r="D13" s="21" t="s">
        <v>70</v>
      </c>
      <c r="E13" s="21" t="str">
        <f>$E$8</f>
        <v>$millions</v>
      </c>
      <c r="F13" s="70">
        <f>$F$8</f>
        <v>45444</v>
      </c>
      <c r="J13" s="71"/>
      <c r="K13" s="71"/>
      <c r="L13" s="71"/>
      <c r="M13" s="78">
        <f>M12*IF($F12="nominal",LOOKUP($F13,'Lookup|Tables'!Nominal_to_Real,'Calc|CPI Indexes'!N$31:N$42),INDEX('Calc|CPI Indexes'!$C$14:$T$27,MATCH($F12,'Calc|CPI Indexes'!$C$14:$C$27,0),MATCH($F13,'Calc|CPI Indexes'!$C$14:$T$14,0)))</f>
        <v>0</v>
      </c>
      <c r="N13" s="63"/>
      <c r="O13" s="78"/>
      <c r="P13" s="79"/>
      <c r="Q13" s="79"/>
      <c r="R13" s="79"/>
      <c r="S13" s="79"/>
    </row>
    <row r="14" spans="1:30" ht="10" x14ac:dyDescent="0.2">
      <c r="J14" s="63"/>
      <c r="K14" s="63"/>
      <c r="L14" s="63"/>
    </row>
    <row r="15" spans="1:30" s="19" customFormat="1" ht="13" x14ac:dyDescent="0.3">
      <c r="A15" s="12"/>
      <c r="B15" s="13" t="s">
        <v>91</v>
      </c>
      <c r="C15" s="12"/>
      <c r="D15" s="12"/>
      <c r="E15" s="12"/>
      <c r="F15" s="14"/>
      <c r="G15" s="14"/>
      <c r="H15" s="14"/>
      <c r="I15" s="14"/>
      <c r="J15" s="15"/>
      <c r="K15" s="16"/>
      <c r="L15" s="15"/>
      <c r="M15" s="16"/>
      <c r="N15" s="15"/>
      <c r="O15" s="15"/>
      <c r="P15" s="15"/>
      <c r="Q15" s="15"/>
      <c r="R15" s="15"/>
      <c r="S15" s="15"/>
      <c r="T15" s="15"/>
      <c r="U15" s="15"/>
      <c r="V15" s="16"/>
      <c r="W15" s="16"/>
      <c r="X15" s="17"/>
      <c r="Y15" s="17"/>
      <c r="Z15" s="17"/>
      <c r="AA15" s="17"/>
      <c r="AB15" s="17"/>
      <c r="AC15" s="18"/>
      <c r="AD15" s="18"/>
    </row>
    <row r="16" spans="1:30" ht="10" x14ac:dyDescent="0.2">
      <c r="C16" s="54"/>
      <c r="J16" s="63"/>
      <c r="K16" s="63"/>
      <c r="L16" s="63"/>
    </row>
    <row r="17" spans="1:30" ht="10.5" x14ac:dyDescent="0.25">
      <c r="C17" s="29" t="s">
        <v>92</v>
      </c>
      <c r="D17" s="23" t="s">
        <v>45</v>
      </c>
      <c r="E17" s="23" t="s">
        <v>72</v>
      </c>
      <c r="F17" s="23" t="s">
        <v>78</v>
      </c>
      <c r="J17" s="61" t="str">
        <f>IF(YEAR(J$4)&gt;='Input|General'!$G$13,IF(YEAR(J$4)&lt;='Input|General'!$G$14,J$4,""),"")</f>
        <v/>
      </c>
      <c r="K17" s="61" t="str">
        <f>IF(YEAR(K$4)&gt;='Input|General'!$G$13,IF(YEAR(K$4)&lt;='Input|General'!$G$14,K$4,""),"")</f>
        <v/>
      </c>
      <c r="L17" s="61" t="str">
        <f>IF(YEAR(L$4)&gt;='Input|General'!$G$13,IF(YEAR(L$4)&lt;='Input|General'!$G$14,L$4,""),"")</f>
        <v/>
      </c>
      <c r="M17" s="61" t="str">
        <f>IF(YEAR(M$4)&gt;='Input|General'!$G$13,IF(YEAR(M$4)&lt;='Input|General'!$G$14,M$4,""),"")</f>
        <v/>
      </c>
      <c r="N17" s="61" t="str">
        <f>IF(YEAR(N$4)&gt;='Input|General'!$G$13,IF(YEAR(N$4)&lt;='Input|General'!$G$14,N$4,""),"")</f>
        <v/>
      </c>
      <c r="O17" s="154">
        <f>IF(YEAR(O$4)&gt;=FPFirstYear,IF(YEAR(O$4)&lt;=FPLastYear,O$4,""),"")</f>
        <v>45809</v>
      </c>
      <c r="P17" s="154">
        <f>IF(YEAR(P$4)&gt;=FPFirstYear,IF(YEAR(P$4)&lt;=FPLastYear,P$4,""),"")</f>
        <v>46174</v>
      </c>
      <c r="Q17" s="154">
        <f>IF(YEAR(Q$4)&gt;=FPFirstYear,IF(YEAR(Q$4)&lt;=FPLastYear,Q$4,""),"")</f>
        <v>46539</v>
      </c>
      <c r="R17" s="154">
        <f>IF(YEAR(R$4)&gt;=FPFirstYear,IF(YEAR(R$4)&lt;=FPLastYear,R$4,""),"")</f>
        <v>46905</v>
      </c>
      <c r="S17" s="154">
        <f>IF(YEAR(S$4)&gt;=FPFirstYear,IF(YEAR(S$4)&lt;=FPLastYear,S$4,""),"")</f>
        <v>47270</v>
      </c>
    </row>
    <row r="18" spans="1:30" ht="10.5" x14ac:dyDescent="0.25">
      <c r="C18" s="29"/>
      <c r="J18" s="24"/>
      <c r="K18" s="24"/>
      <c r="L18" s="24"/>
      <c r="M18" s="24"/>
      <c r="N18" s="24"/>
      <c r="O18" s="24"/>
      <c r="P18" s="24"/>
      <c r="Q18" s="24"/>
      <c r="R18" s="24"/>
      <c r="S18" s="24"/>
    </row>
    <row r="19" spans="1:30" ht="10" x14ac:dyDescent="0.2">
      <c r="C19" s="54" t="s">
        <v>166</v>
      </c>
      <c r="D19" s="147" t="s">
        <v>90</v>
      </c>
      <c r="E19" s="21" t="str">
        <f>$E$8</f>
        <v>$millions</v>
      </c>
      <c r="F19" s="68">
        <v>45444</v>
      </c>
      <c r="J19" s="73"/>
      <c r="K19" s="73"/>
      <c r="L19" s="73"/>
      <c r="M19" s="73"/>
      <c r="N19" s="73"/>
      <c r="O19" s="80">
        <v>2.8177808423999999</v>
      </c>
      <c r="P19" s="80">
        <v>3.268714818307429</v>
      </c>
      <c r="Q19" s="80">
        <v>1.1267742797218101</v>
      </c>
      <c r="R19" s="80">
        <v>1.3714193119403175</v>
      </c>
      <c r="S19" s="80">
        <v>1.6185154059301499</v>
      </c>
    </row>
    <row r="20" spans="1:30" ht="10" x14ac:dyDescent="0.2">
      <c r="C20" s="54" t="str">
        <f>C19</f>
        <v>Smart meter data</v>
      </c>
      <c r="D20" s="21" t="s">
        <v>70</v>
      </c>
      <c r="E20" s="21" t="str">
        <f>$E$8</f>
        <v>$millions</v>
      </c>
      <c r="F20" s="70">
        <f t="shared" ref="F20" si="1">$F$8</f>
        <v>45444</v>
      </c>
      <c r="J20" s="73"/>
      <c r="K20" s="73"/>
      <c r="L20" s="73"/>
      <c r="M20" s="73"/>
      <c r="N20" s="73"/>
      <c r="O20" s="78">
        <f>O19*IF($F19="nominal",LOOKUP($F20,'Lookup|Tables'!Nominal_to_Real,'Calc|CPI Indexes'!P$31:P$42),INDEX('Calc|CPI Indexes'!$C$14:$T$27,MATCH($F19,'Calc|CPI Indexes'!$C$14:$C$27,0),MATCH($F20,'Calc|CPI Indexes'!$C$14:$T$14,0)))</f>
        <v>2.8177808423999999</v>
      </c>
      <c r="P20" s="78">
        <f>P19*IF($F19="nominal",LOOKUP($F20,'Lookup|Tables'!Nominal_to_Real,'Calc|CPI Indexes'!Q$31:Q$42),INDEX('Calc|CPI Indexes'!$C$14:$T$27,MATCH($F19,'Calc|CPI Indexes'!$C$14:$C$27,0),MATCH($F20,'Calc|CPI Indexes'!$C$14:$T$14,0)))</f>
        <v>3.268714818307429</v>
      </c>
      <c r="Q20" s="78">
        <f>Q19*IF($F19="nominal",LOOKUP($F20,'Lookup|Tables'!Nominal_to_Real,'Calc|CPI Indexes'!R$31:R$42),INDEX('Calc|CPI Indexes'!$C$14:$T$27,MATCH($F19,'Calc|CPI Indexes'!$C$14:$C$27,0),MATCH($F20,'Calc|CPI Indexes'!$C$14:$T$14,0)))</f>
        <v>1.1267742797218101</v>
      </c>
      <c r="R20" s="78">
        <f>R19*IF($F19="nominal",LOOKUP($F20,'Lookup|Tables'!Nominal_to_Real,'Calc|CPI Indexes'!S$31:S$42),INDEX('Calc|CPI Indexes'!$C$14:$T$27,MATCH($F19,'Calc|CPI Indexes'!$C$14:$C$27,0),MATCH($F20,'Calc|CPI Indexes'!$C$14:$T$14,0)))</f>
        <v>1.3714193119403175</v>
      </c>
      <c r="S20" s="78">
        <f>S19*IF($F19="nominal",LOOKUP($F20,'Lookup|Tables'!Nominal_to_Real,'Calc|CPI Indexes'!T$31:T$42),INDEX('Calc|CPI Indexes'!$C$14:$T$27,MATCH($F19,'Calc|CPI Indexes'!$C$14:$C$27,0),MATCH($F20,'Calc|CPI Indexes'!$C$14:$T$14,0)))</f>
        <v>1.6185154059301499</v>
      </c>
    </row>
    <row r="21" spans="1:30" ht="10" x14ac:dyDescent="0.2">
      <c r="C21" s="72"/>
      <c r="F21" s="70"/>
      <c r="J21" s="73"/>
      <c r="K21" s="73"/>
      <c r="L21" s="73"/>
      <c r="M21" s="73"/>
      <c r="N21" s="73"/>
      <c r="O21" s="73"/>
      <c r="P21" s="73"/>
      <c r="Q21" s="73"/>
      <c r="R21" s="73"/>
      <c r="S21" s="73"/>
    </row>
    <row r="22" spans="1:30" s="19" customFormat="1" ht="13" x14ac:dyDescent="0.3">
      <c r="A22" s="12"/>
      <c r="B22" s="13" t="s">
        <v>93</v>
      </c>
      <c r="C22" s="12"/>
      <c r="D22" s="12"/>
      <c r="E22" s="12"/>
      <c r="F22" s="14"/>
      <c r="G22" s="14"/>
      <c r="H22" s="14"/>
      <c r="I22" s="14"/>
      <c r="J22" s="15"/>
      <c r="K22" s="16"/>
      <c r="L22" s="15"/>
      <c r="M22" s="16"/>
      <c r="N22" s="15"/>
      <c r="O22" s="15"/>
      <c r="P22" s="15"/>
      <c r="Q22" s="15"/>
      <c r="R22" s="15"/>
      <c r="S22" s="15"/>
      <c r="T22" s="15"/>
      <c r="U22" s="15"/>
      <c r="V22" s="16"/>
      <c r="W22" s="16"/>
      <c r="X22" s="17"/>
      <c r="Y22" s="17"/>
      <c r="Z22" s="17"/>
      <c r="AA22" s="17"/>
      <c r="AB22" s="17"/>
      <c r="AC22" s="18"/>
      <c r="AD22" s="18"/>
    </row>
    <row r="23" spans="1:30" ht="10" x14ac:dyDescent="0.2">
      <c r="C23" s="54"/>
      <c r="J23" s="63"/>
      <c r="K23" s="63"/>
      <c r="L23" s="63"/>
    </row>
    <row r="24" spans="1:30" ht="10.5" x14ac:dyDescent="0.25">
      <c r="C24" s="29" t="s">
        <v>94</v>
      </c>
      <c r="D24" s="23" t="s">
        <v>45</v>
      </c>
      <c r="E24" s="23" t="s">
        <v>72</v>
      </c>
      <c r="F24" s="23" t="s">
        <v>78</v>
      </c>
      <c r="J24" s="61" t="str">
        <f>IF(YEAR(J$4)&gt;='Input|General'!$G$13,IF(YEAR(J$4)&lt;='Input|General'!$G$14,J$4,""),"")</f>
        <v/>
      </c>
      <c r="K24" s="61" t="str">
        <f>IF(YEAR(K$4)&gt;='Input|General'!$G$13,IF(YEAR(K$4)&lt;='Input|General'!$G$14,K$4,""),"")</f>
        <v/>
      </c>
      <c r="L24" s="61" t="str">
        <f>IF(YEAR(L$4)&gt;='Input|General'!$G$13,IF(YEAR(L$4)&lt;='Input|General'!$G$14,L$4,""),"")</f>
        <v/>
      </c>
      <c r="M24" s="61" t="str">
        <f>IF(YEAR(M$4)&gt;='Input|General'!$G$13,IF(YEAR(M$4)&lt;='Input|General'!$G$14,M$4,""),"")</f>
        <v/>
      </c>
      <c r="N24" s="61" t="str">
        <f>IF(YEAR(N$4)&gt;='Input|General'!$G$13,IF(YEAR(N$4)&lt;='Input|General'!$G$14,N$4,""),"")</f>
        <v/>
      </c>
      <c r="O24" s="154">
        <f>IF(YEAR(O$4)&gt;=FPFirstYear,IF(YEAR(O$4)&lt;=FPLastYear,O$4,""),"")</f>
        <v>45809</v>
      </c>
      <c r="P24" s="154">
        <f>IF(YEAR(P$4)&gt;=FPFirstYear,IF(YEAR(P$4)&lt;=FPLastYear,P$4,""),"")</f>
        <v>46174</v>
      </c>
      <c r="Q24" s="154">
        <f>IF(YEAR(Q$4)&gt;=FPFirstYear,IF(YEAR(Q$4)&lt;=FPLastYear,Q$4,""),"")</f>
        <v>46539</v>
      </c>
      <c r="R24" s="154">
        <f>IF(YEAR(R$4)&gt;=FPFirstYear,IF(YEAR(R$4)&lt;=FPLastYear,R$4,""),"")</f>
        <v>46905</v>
      </c>
      <c r="S24" s="154">
        <f>IF(YEAR(S$4)&gt;=FPFirstYear,IF(YEAR(S$4)&lt;=FPLastYear,S$4,""),"")</f>
        <v>47270</v>
      </c>
    </row>
    <row r="25" spans="1:30" ht="10.5" x14ac:dyDescent="0.25">
      <c r="C25" s="29"/>
      <c r="D25" s="23"/>
      <c r="E25" s="23"/>
      <c r="F25" s="23"/>
      <c r="J25" s="61"/>
      <c r="K25" s="61"/>
      <c r="L25" s="61"/>
      <c r="M25" s="61"/>
      <c r="N25" s="61"/>
      <c r="O25" s="61"/>
      <c r="P25" s="61"/>
      <c r="Q25" s="61"/>
      <c r="R25" s="61"/>
      <c r="S25" s="61"/>
    </row>
    <row r="26" spans="1:30" ht="10" x14ac:dyDescent="0.2">
      <c r="C26" s="54" t="s">
        <v>167</v>
      </c>
      <c r="D26" s="21" t="s">
        <v>70</v>
      </c>
      <c r="E26" s="21" t="str">
        <f>$E$8</f>
        <v>$millions</v>
      </c>
      <c r="F26" s="70">
        <f>F20</f>
        <v>45444</v>
      </c>
      <c r="J26" s="73"/>
      <c r="K26" s="73"/>
      <c r="L26" s="73"/>
      <c r="M26" s="73"/>
      <c r="N26" s="73"/>
      <c r="O26" s="78">
        <f>O20</f>
        <v>2.8177808423999999</v>
      </c>
      <c r="P26" s="78">
        <f>P20</f>
        <v>3.268714818307429</v>
      </c>
      <c r="Q26" s="78">
        <f>Q20</f>
        <v>1.1267742797218101</v>
      </c>
      <c r="R26" s="78">
        <f>R20</f>
        <v>1.3714193119403175</v>
      </c>
      <c r="S26" s="78">
        <f>S20</f>
        <v>1.6185154059301499</v>
      </c>
    </row>
    <row r="27" spans="1:30" ht="10.5" x14ac:dyDescent="0.25">
      <c r="C27" s="54" t="s">
        <v>168</v>
      </c>
      <c r="D27" s="21" t="s">
        <v>70</v>
      </c>
      <c r="E27" s="21" t="str">
        <f>$E$8</f>
        <v>$millions</v>
      </c>
      <c r="F27" s="70">
        <f>F13</f>
        <v>45444</v>
      </c>
      <c r="J27" s="24"/>
      <c r="K27" s="24"/>
      <c r="L27" s="24"/>
      <c r="M27" s="24"/>
      <c r="N27" s="24"/>
      <c r="O27" s="78">
        <f>$M$13</f>
        <v>0</v>
      </c>
      <c r="P27" s="78">
        <f t="shared" ref="P27:S27" si="2">$M$13</f>
        <v>0</v>
      </c>
      <c r="Q27" s="78">
        <f t="shared" si="2"/>
        <v>0</v>
      </c>
      <c r="R27" s="78">
        <f t="shared" si="2"/>
        <v>0</v>
      </c>
      <c r="S27" s="78">
        <f t="shared" si="2"/>
        <v>0</v>
      </c>
    </row>
    <row r="28" spans="1:30" ht="3" customHeight="1" x14ac:dyDescent="0.2">
      <c r="F28" s="105"/>
      <c r="O28" s="100"/>
      <c r="P28" s="100"/>
      <c r="Q28" s="100"/>
      <c r="R28" s="100"/>
      <c r="S28" s="100"/>
    </row>
    <row r="29" spans="1:30" ht="10.5" x14ac:dyDescent="0.25">
      <c r="C29" s="74" t="s">
        <v>169</v>
      </c>
      <c r="D29" s="75" t="s">
        <v>70</v>
      </c>
      <c r="E29" s="75" t="str">
        <f>$E$8</f>
        <v>$millions</v>
      </c>
      <c r="F29" s="76">
        <f>F27</f>
        <v>45444</v>
      </c>
      <c r="G29" s="23"/>
      <c r="H29" s="23"/>
      <c r="I29" s="23"/>
      <c r="J29" s="77"/>
      <c r="K29" s="77"/>
      <c r="L29" s="77"/>
      <c r="M29" s="77"/>
      <c r="N29" s="77"/>
      <c r="O29" s="79">
        <f>O26-O27</f>
        <v>2.8177808423999999</v>
      </c>
      <c r="P29" s="79">
        <f>P26-P27</f>
        <v>3.268714818307429</v>
      </c>
      <c r="Q29" s="79">
        <f>Q26-Q27</f>
        <v>1.1267742797218101</v>
      </c>
      <c r="R29" s="79">
        <f>R26-R27</f>
        <v>1.3714193119403175</v>
      </c>
      <c r="S29" s="79">
        <f>S26-S27</f>
        <v>1.6185154059301499</v>
      </c>
    </row>
    <row r="30" spans="1:30" ht="10.5" x14ac:dyDescent="0.25">
      <c r="C30" s="106"/>
      <c r="D30" s="23"/>
      <c r="E30" s="23"/>
      <c r="F30" s="76"/>
      <c r="G30" s="23"/>
      <c r="H30" s="23"/>
      <c r="I30" s="23"/>
      <c r="J30" s="77"/>
      <c r="K30" s="77"/>
      <c r="L30" s="77"/>
      <c r="M30" s="77"/>
      <c r="N30" s="77"/>
      <c r="O30" s="79"/>
      <c r="P30" s="79"/>
      <c r="Q30" s="79"/>
      <c r="R30" s="79"/>
      <c r="S30" s="79"/>
    </row>
    <row r="31" spans="1:30" s="19" customFormat="1" ht="13" x14ac:dyDescent="0.3">
      <c r="A31" s="12"/>
      <c r="B31" s="13" t="s">
        <v>41</v>
      </c>
      <c r="C31" s="12"/>
      <c r="D31" s="12"/>
      <c r="E31" s="12"/>
      <c r="F31" s="14"/>
      <c r="G31" s="14"/>
      <c r="H31" s="14"/>
      <c r="I31" s="14"/>
      <c r="J31" s="15"/>
      <c r="K31" s="16"/>
      <c r="L31" s="15"/>
      <c r="M31" s="16"/>
      <c r="N31" s="15"/>
      <c r="O31" s="15"/>
      <c r="P31" s="15"/>
      <c r="Q31" s="15"/>
      <c r="R31" s="15"/>
      <c r="S31" s="15"/>
      <c r="T31" s="15"/>
      <c r="U31" s="15"/>
      <c r="V31" s="16"/>
      <c r="W31" s="16"/>
      <c r="X31" s="17"/>
      <c r="Y31" s="17"/>
      <c r="Z31" s="17"/>
      <c r="AA31" s="17"/>
      <c r="AB31" s="17"/>
      <c r="AC31" s="18"/>
      <c r="AD31" s="18"/>
    </row>
    <row r="32" spans="1:30" ht="10" hidden="1" x14ac:dyDescent="0.2">
      <c r="C32" s="54"/>
      <c r="D32" s="63"/>
      <c r="E32" s="63"/>
      <c r="F32" s="108"/>
      <c r="G32" s="63"/>
      <c r="H32" s="63"/>
      <c r="I32" s="63"/>
      <c r="J32" s="73"/>
      <c r="K32" s="73"/>
      <c r="L32" s="73"/>
      <c r="M32" s="73"/>
      <c r="N32" s="73"/>
      <c r="O32" s="78"/>
      <c r="P32" s="78"/>
      <c r="Q32" s="78"/>
      <c r="R32" s="78"/>
      <c r="S32" s="78"/>
    </row>
    <row r="33" spans="1:30" ht="10" hidden="1" x14ac:dyDescent="0.2">
      <c r="C33" s="54"/>
      <c r="D33" s="63"/>
      <c r="E33" s="63"/>
      <c r="F33" s="108"/>
      <c r="G33" s="63"/>
      <c r="H33" s="63"/>
      <c r="I33" s="63"/>
      <c r="J33" s="73"/>
      <c r="K33" s="73"/>
      <c r="L33" s="73"/>
      <c r="M33" s="73"/>
      <c r="N33" s="73"/>
      <c r="O33" s="78"/>
      <c r="P33" s="78"/>
      <c r="Q33" s="78"/>
      <c r="R33" s="78"/>
      <c r="S33" s="78"/>
    </row>
    <row r="34" spans="1:30" ht="10" hidden="1" x14ac:dyDescent="0.2">
      <c r="C34" s="54"/>
      <c r="D34" s="63"/>
      <c r="E34" s="63"/>
      <c r="F34" s="108"/>
      <c r="G34" s="63"/>
      <c r="H34" s="63"/>
      <c r="I34" s="63"/>
      <c r="J34" s="73"/>
      <c r="K34" s="73"/>
      <c r="L34" s="73"/>
      <c r="M34" s="73"/>
      <c r="N34" s="73"/>
      <c r="O34" s="78"/>
      <c r="P34" s="78"/>
      <c r="Q34" s="78"/>
      <c r="R34" s="78"/>
      <c r="S34" s="78"/>
    </row>
    <row r="35" spans="1:30" ht="10" hidden="1" x14ac:dyDescent="0.2">
      <c r="C35" s="54"/>
      <c r="D35" s="63"/>
      <c r="E35" s="63"/>
      <c r="F35" s="108"/>
      <c r="G35" s="63"/>
      <c r="H35" s="63"/>
      <c r="I35" s="63"/>
      <c r="J35" s="73"/>
      <c r="K35" s="73"/>
      <c r="L35" s="73"/>
      <c r="M35" s="73"/>
      <c r="N35" s="73"/>
      <c r="O35" s="78"/>
      <c r="P35" s="78"/>
      <c r="Q35" s="78"/>
      <c r="R35" s="78"/>
      <c r="S35" s="78"/>
    </row>
    <row r="36" spans="1:30" ht="10" hidden="1" x14ac:dyDescent="0.2">
      <c r="C36" s="54"/>
      <c r="D36" s="63"/>
      <c r="E36" s="63"/>
      <c r="F36" s="108"/>
      <c r="G36" s="63"/>
      <c r="H36" s="63"/>
      <c r="I36" s="63"/>
      <c r="J36" s="73"/>
      <c r="K36" s="73"/>
      <c r="L36" s="73"/>
      <c r="M36" s="73"/>
      <c r="N36" s="73"/>
      <c r="O36" s="78"/>
      <c r="P36" s="78"/>
      <c r="Q36" s="78"/>
      <c r="R36" s="78"/>
      <c r="S36" s="78"/>
    </row>
    <row r="37" spans="1:30" ht="10" hidden="1" x14ac:dyDescent="0.2">
      <c r="C37" s="54"/>
      <c r="D37" s="63"/>
      <c r="E37" s="63"/>
      <c r="F37" s="108"/>
      <c r="G37" s="63"/>
      <c r="H37" s="63"/>
      <c r="I37" s="63"/>
      <c r="J37" s="73"/>
      <c r="K37" s="73"/>
      <c r="L37" s="73"/>
      <c r="M37" s="73"/>
      <c r="N37" s="73"/>
      <c r="O37" s="78"/>
      <c r="P37" s="78"/>
      <c r="Q37" s="78"/>
      <c r="R37" s="78"/>
      <c r="S37" s="78"/>
    </row>
    <row r="38" spans="1:30" ht="10" hidden="1" x14ac:dyDescent="0.2">
      <c r="C38" s="54"/>
      <c r="D38" s="63"/>
      <c r="E38" s="63"/>
      <c r="F38" s="108"/>
      <c r="G38" s="63"/>
      <c r="H38" s="63"/>
      <c r="I38" s="63"/>
      <c r="J38" s="73"/>
      <c r="K38" s="73"/>
      <c r="L38" s="73"/>
      <c r="M38" s="73"/>
      <c r="N38" s="73"/>
      <c r="O38" s="78"/>
      <c r="P38" s="78"/>
      <c r="Q38" s="78"/>
      <c r="R38" s="78"/>
      <c r="S38" s="78"/>
    </row>
    <row r="39" spans="1:30" ht="10" hidden="1" x14ac:dyDescent="0.2">
      <c r="C39" s="54"/>
      <c r="D39" s="63"/>
      <c r="E39" s="63"/>
      <c r="F39" s="108"/>
      <c r="G39" s="63"/>
      <c r="H39" s="63"/>
      <c r="I39" s="63"/>
      <c r="J39" s="73"/>
      <c r="K39" s="73"/>
      <c r="L39" s="73"/>
      <c r="M39" s="73"/>
      <c r="N39" s="73"/>
      <c r="O39" s="78"/>
      <c r="P39" s="78"/>
      <c r="Q39" s="78"/>
      <c r="R39" s="78"/>
      <c r="S39" s="78"/>
    </row>
    <row r="40" spans="1:30" ht="10" hidden="1" x14ac:dyDescent="0.2">
      <c r="C40" s="54"/>
      <c r="D40" s="63"/>
      <c r="E40" s="63"/>
      <c r="F40" s="108"/>
      <c r="G40" s="63"/>
      <c r="H40" s="63"/>
      <c r="I40" s="63"/>
      <c r="J40" s="73"/>
      <c r="K40" s="73"/>
      <c r="L40" s="73"/>
      <c r="M40" s="73"/>
      <c r="N40" s="73"/>
      <c r="O40" s="78"/>
      <c r="P40" s="78"/>
      <c r="Q40" s="78"/>
      <c r="R40" s="78"/>
      <c r="S40" s="78"/>
    </row>
    <row r="41" spans="1:30" ht="10" hidden="1" x14ac:dyDescent="0.2">
      <c r="C41" s="54"/>
      <c r="D41" s="63"/>
      <c r="E41" s="63"/>
      <c r="F41" s="108"/>
      <c r="G41" s="63"/>
      <c r="H41" s="63"/>
      <c r="I41" s="63"/>
      <c r="J41" s="73"/>
      <c r="K41" s="73"/>
      <c r="L41" s="73"/>
      <c r="M41" s="73"/>
      <c r="N41" s="73"/>
      <c r="O41" s="78"/>
      <c r="P41" s="78"/>
      <c r="Q41" s="78"/>
      <c r="R41" s="78"/>
      <c r="S41" s="78"/>
    </row>
    <row r="42" spans="1:30" ht="10" hidden="1" x14ac:dyDescent="0.2">
      <c r="C42" s="54"/>
      <c r="D42" s="63"/>
      <c r="E42" s="63"/>
      <c r="F42" s="108"/>
      <c r="G42" s="63"/>
      <c r="H42" s="63"/>
      <c r="I42" s="63"/>
      <c r="J42" s="73"/>
      <c r="K42" s="73"/>
      <c r="L42" s="73"/>
      <c r="M42" s="73"/>
      <c r="N42" s="73"/>
      <c r="O42" s="78"/>
      <c r="P42" s="78"/>
      <c r="Q42" s="78"/>
      <c r="R42" s="78"/>
      <c r="S42" s="78"/>
    </row>
    <row r="43" spans="1:30" ht="10" hidden="1" x14ac:dyDescent="0.2">
      <c r="C43" s="54"/>
      <c r="D43" s="63"/>
      <c r="E43" s="63"/>
      <c r="F43" s="108"/>
      <c r="G43" s="63"/>
      <c r="H43" s="63"/>
      <c r="I43" s="63"/>
      <c r="J43" s="73"/>
      <c r="K43" s="73"/>
      <c r="L43" s="73"/>
      <c r="M43" s="73"/>
      <c r="N43" s="73"/>
      <c r="O43" s="78"/>
      <c r="P43" s="78"/>
      <c r="Q43" s="78"/>
      <c r="R43" s="78"/>
      <c r="S43" s="78"/>
    </row>
    <row r="44" spans="1:30" ht="10" hidden="1" x14ac:dyDescent="0.2">
      <c r="C44" s="54"/>
      <c r="D44" s="63"/>
      <c r="E44" s="63"/>
      <c r="F44" s="108"/>
      <c r="G44" s="63"/>
      <c r="H44" s="63"/>
      <c r="I44" s="63"/>
      <c r="J44" s="73"/>
      <c r="K44" s="73"/>
      <c r="L44" s="73"/>
      <c r="M44" s="73"/>
      <c r="N44" s="73"/>
      <c r="O44" s="78"/>
      <c r="P44" s="78"/>
      <c r="Q44" s="78"/>
      <c r="R44" s="78"/>
      <c r="S44" s="78"/>
    </row>
    <row r="45" spans="1:30" ht="10" hidden="1" x14ac:dyDescent="0.2">
      <c r="C45" s="54"/>
      <c r="D45" s="63"/>
      <c r="E45" s="63"/>
      <c r="F45" s="108"/>
      <c r="G45" s="63"/>
      <c r="H45" s="63"/>
      <c r="I45" s="63"/>
      <c r="J45" s="73"/>
      <c r="K45" s="73"/>
      <c r="L45" s="73"/>
      <c r="M45" s="73"/>
      <c r="N45" s="73"/>
      <c r="O45" s="78"/>
      <c r="P45" s="78"/>
      <c r="Q45" s="78"/>
      <c r="R45" s="78"/>
      <c r="S45" s="78"/>
    </row>
    <row r="46" spans="1:30" ht="10" hidden="1" x14ac:dyDescent="0.2">
      <c r="C46" s="54"/>
      <c r="D46" s="63"/>
      <c r="E46" s="63"/>
      <c r="F46" s="63"/>
      <c r="G46" s="63"/>
      <c r="H46" s="63"/>
      <c r="I46" s="63"/>
      <c r="J46" s="63"/>
      <c r="K46" s="63"/>
      <c r="L46" s="63"/>
      <c r="M46" s="63"/>
      <c r="N46" s="107"/>
      <c r="O46" s="107"/>
      <c r="P46" s="107"/>
      <c r="Q46" s="107"/>
      <c r="R46" s="107"/>
      <c r="S46" s="107"/>
    </row>
    <row r="47" spans="1:30" s="19" customFormat="1" ht="13" hidden="1" x14ac:dyDescent="0.3">
      <c r="A47" s="12"/>
      <c r="B47" s="13" t="s">
        <v>41</v>
      </c>
      <c r="C47" s="12"/>
      <c r="D47" s="12"/>
      <c r="E47" s="12"/>
      <c r="F47" s="14"/>
      <c r="G47" s="14"/>
      <c r="H47" s="14"/>
      <c r="I47" s="14"/>
      <c r="J47" s="15"/>
      <c r="K47" s="16"/>
      <c r="L47" s="15"/>
      <c r="M47" s="16"/>
      <c r="N47" s="15"/>
      <c r="O47" s="15"/>
      <c r="P47" s="15"/>
      <c r="Q47" s="15"/>
      <c r="R47" s="15"/>
      <c r="S47" s="15"/>
      <c r="T47" s="15"/>
      <c r="U47" s="15"/>
      <c r="V47" s="16"/>
      <c r="W47" s="16"/>
      <c r="X47" s="17"/>
      <c r="Y47" s="17"/>
      <c r="Z47" s="17"/>
      <c r="AA47" s="17"/>
      <c r="AB47" s="17"/>
      <c r="AC47" s="18"/>
      <c r="AD47" s="18"/>
    </row>
  </sheetData>
  <mergeCells count="1">
    <mergeCell ref="N3:S3"/>
  </mergeCells>
  <conditionalFormatting sqref="O17:S17 O24:S24">
    <cfRule type="expression" dxfId="25" priority="1">
      <formula>O$10=O$4</formula>
    </cfRule>
  </conditionalFormatting>
  <dataValidations count="1">
    <dataValidation type="list" allowBlank="1" showInputMessage="1" showErrorMessage="1" sqref="F46" xr:uid="{864D1651-8D73-4F8F-9016-433CAD75656C}">
      <formula1>"Real 2010,Real 2011,Real 2012,Real 2013,Real 2014,Real 2015,Nominal"</formula1>
    </dataValidation>
  </dataValidations>
  <pageMargins left="0.7" right="0.7" top="0.75" bottom="0.75" header="0.3" footer="0.3"/>
  <pageSetup paperSize="9" orientation="portrait" verticalDpi="4" r:id="rId1"/>
  <headerFooter>
    <oddFooter>&amp;L&amp;1#&amp;"Calibri"&amp;8&amp;K000000For Official use only</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8A2433E7-FCBC-4A6F-B1E0-FAFCF0B74165}">
          <x14:formula1>
            <xm:f>'Lookup|Tables'!$G$81:$G$84</xm:f>
          </x14:formula1>
          <xm:sqref>F12 F19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FFD03-DDB4-4131-A7E8-A1CC4D781559}">
  <sheetPr codeName="Sheet9">
    <tabColor rgb="FFCCFFCC"/>
  </sheetPr>
  <dimension ref="A1:AD47"/>
  <sheetViews>
    <sheetView showGridLines="0" zoomScaleNormal="100" workbookViewId="0"/>
  </sheetViews>
  <sheetFormatPr defaultColWidth="0" defaultRowHeight="10" zeroHeight="1" x14ac:dyDescent="0.2"/>
  <cols>
    <col min="1" max="2" width="1.1796875" style="20" customWidth="1"/>
    <col min="3" max="3" width="62.54296875" style="20" bestFit="1" customWidth="1"/>
    <col min="4" max="4" width="22.54296875" style="21" customWidth="1"/>
    <col min="5" max="5" width="12.81640625" style="21" customWidth="1"/>
    <col min="6" max="6" width="8.81640625" style="21" customWidth="1"/>
    <col min="7" max="9" width="2.81640625" style="21" customWidth="1"/>
    <col min="10" max="23" width="8.81640625" style="20" customWidth="1"/>
    <col min="24" max="38" width="8.54296875" style="20" hidden="1" customWidth="1"/>
    <col min="39" max="16384" width="8.54296875" style="20" hidden="1"/>
  </cols>
  <sheetData>
    <row r="1" spans="1:30" s="1" customFormat="1" ht="15.5" x14ac:dyDescent="0.35">
      <c r="B1" s="2" t="s">
        <v>42</v>
      </c>
      <c r="C1" s="2"/>
      <c r="D1" s="2"/>
      <c r="E1" s="2"/>
      <c r="F1" s="2"/>
      <c r="G1" s="2"/>
      <c r="H1" s="2"/>
      <c r="I1" s="2"/>
      <c r="J1" s="2"/>
      <c r="K1" s="2"/>
      <c r="L1" s="95" t="s">
        <v>58</v>
      </c>
      <c r="M1" s="96" t="s">
        <v>59</v>
      </c>
      <c r="N1" s="97" t="s">
        <v>61</v>
      </c>
      <c r="O1" s="2"/>
      <c r="P1" s="2"/>
      <c r="Q1" s="2"/>
      <c r="R1" s="2"/>
      <c r="S1" s="2"/>
      <c r="T1" s="2"/>
      <c r="U1" s="2"/>
      <c r="V1" s="2"/>
      <c r="W1" s="2"/>
    </row>
    <row r="2" spans="1:30" s="7" customFormat="1" ht="13.5" thickBot="1" x14ac:dyDescent="0.35">
      <c r="B2" s="8" t="s">
        <v>170</v>
      </c>
      <c r="C2" s="8"/>
      <c r="D2" s="8"/>
      <c r="E2" s="8"/>
      <c r="F2" s="9"/>
      <c r="G2" s="9"/>
      <c r="H2" s="9"/>
      <c r="I2" s="9"/>
    </row>
    <row r="3" spans="1:30" s="38" customFormat="1" ht="14.75" customHeight="1" x14ac:dyDescent="0.25">
      <c r="D3" s="39"/>
      <c r="E3" s="39"/>
      <c r="F3" s="39"/>
      <c r="G3" s="39"/>
      <c r="H3" s="39"/>
      <c r="I3" s="39"/>
      <c r="J3" s="64" t="s">
        <v>50</v>
      </c>
      <c r="K3" s="64"/>
      <c r="L3" s="64"/>
      <c r="M3" s="39"/>
      <c r="N3" s="202"/>
      <c r="O3" s="202"/>
      <c r="P3" s="202"/>
      <c r="Q3" s="202"/>
      <c r="R3" s="202"/>
      <c r="S3" s="202"/>
      <c r="T3" s="41"/>
      <c r="U3" s="41"/>
      <c r="V3" s="41"/>
      <c r="W3" s="41"/>
      <c r="X3" s="41"/>
      <c r="Y3" s="41"/>
      <c r="Z3" s="41"/>
    </row>
    <row r="4" spans="1:30" s="19" customFormat="1" x14ac:dyDescent="0.2">
      <c r="A4" s="42"/>
      <c r="B4" s="42"/>
      <c r="C4" s="42"/>
      <c r="D4" s="43" t="s">
        <v>45</v>
      </c>
      <c r="E4" s="43" t="s">
        <v>72</v>
      </c>
      <c r="F4" s="44" t="s">
        <v>78</v>
      </c>
      <c r="G4" s="45"/>
      <c r="H4" s="45"/>
      <c r="I4" s="45"/>
      <c r="J4" s="46">
        <f>DATE(PPFirstYear,MONTH('Input|General'!$G$9),1)</f>
        <v>43983</v>
      </c>
      <c r="K4" s="46">
        <f>DATE(PPFirstYear+1,MONTH('Input|General'!$G$9),1)</f>
        <v>44348</v>
      </c>
      <c r="L4" s="46">
        <f>DATE(PPFirstYear+2,MONTH('Input|General'!$G$9),1)</f>
        <v>44713</v>
      </c>
      <c r="M4" s="46">
        <f>DATE(PPFirstYear+3,MONTH('Input|General'!$G$9),1)</f>
        <v>45078</v>
      </c>
      <c r="N4" s="46">
        <f>DATE(PPFirstYear+4,MONTH('Input|General'!$G$9),1)</f>
        <v>45444</v>
      </c>
      <c r="O4" s="46">
        <f>DATE(PPFirstYear+5,MONTH('Input|General'!$G$9),1)</f>
        <v>45809</v>
      </c>
      <c r="P4" s="46">
        <f>DATE(PPFirstYear+6,MONTH('Input|General'!$G$9),1)</f>
        <v>46174</v>
      </c>
      <c r="Q4" s="46">
        <f>DATE(PPFirstYear+7,MONTH('Input|General'!$G$9),1)</f>
        <v>46539</v>
      </c>
      <c r="R4" s="46">
        <f>DATE(PPFirstYear+8,MONTH('Input|General'!$G$9),1)</f>
        <v>46905</v>
      </c>
      <c r="S4" s="46">
        <f>DATE(PPFirstYear+9,MONTH('Input|General'!$G$9),1)</f>
        <v>47270</v>
      </c>
      <c r="T4" s="47"/>
      <c r="U4" s="47"/>
      <c r="V4" s="48"/>
      <c r="W4" s="48"/>
    </row>
    <row r="5" spans="1:30" s="10" customFormat="1" ht="3" customHeight="1" x14ac:dyDescent="0.2">
      <c r="D5" s="11"/>
      <c r="E5" s="11"/>
      <c r="F5" s="11"/>
      <c r="G5" s="11"/>
      <c r="H5" s="11"/>
      <c r="I5" s="11"/>
    </row>
    <row r="6" spans="1:30" s="10" customFormat="1" x14ac:dyDescent="0.2">
      <c r="D6" s="11"/>
      <c r="E6" s="11"/>
      <c r="F6" s="11"/>
      <c r="G6" s="11"/>
      <c r="H6" s="11"/>
      <c r="I6" s="11"/>
    </row>
    <row r="7" spans="1:30" s="10" customFormat="1" ht="3" customHeight="1" x14ac:dyDescent="0.2">
      <c r="D7" s="11"/>
      <c r="E7" s="11"/>
      <c r="F7" s="11"/>
      <c r="G7" s="11"/>
      <c r="H7" s="11"/>
      <c r="I7" s="11"/>
    </row>
    <row r="8" spans="1:30" s="19" customFormat="1" ht="13" x14ac:dyDescent="0.3">
      <c r="A8" s="12"/>
      <c r="B8" s="13" t="s">
        <v>86</v>
      </c>
      <c r="C8" s="12"/>
      <c r="D8" s="12"/>
      <c r="E8" s="65" t="s">
        <v>87</v>
      </c>
      <c r="F8" s="81">
        <f>DATE(PPLastYear,MONTH('Input|General'!G9),1)</f>
        <v>45444</v>
      </c>
      <c r="G8" s="14"/>
      <c r="H8" s="14"/>
      <c r="I8" s="14"/>
      <c r="J8" s="15"/>
      <c r="K8" s="16"/>
      <c r="L8" s="15"/>
      <c r="M8" s="16"/>
      <c r="N8" s="15"/>
      <c r="O8" s="15"/>
      <c r="P8" s="15"/>
      <c r="Q8" s="15"/>
      <c r="R8" s="15"/>
      <c r="S8" s="15"/>
      <c r="T8" s="15"/>
      <c r="U8" s="15"/>
      <c r="V8" s="16"/>
      <c r="W8" s="16"/>
      <c r="X8" s="17"/>
      <c r="Y8" s="17"/>
      <c r="Z8" s="17"/>
      <c r="AA8" s="17"/>
      <c r="AB8" s="17"/>
      <c r="AC8" s="18"/>
      <c r="AD8" s="18"/>
    </row>
    <row r="9" spans="1:30" x14ac:dyDescent="0.2"/>
    <row r="10" spans="1:30" ht="10.5" x14ac:dyDescent="0.25">
      <c r="C10" s="29" t="s">
        <v>88</v>
      </c>
      <c r="D10" s="23" t="s">
        <v>45</v>
      </c>
      <c r="E10" s="23" t="s">
        <v>72</v>
      </c>
      <c r="F10" s="23" t="s">
        <v>78</v>
      </c>
      <c r="J10" s="61">
        <f t="shared" ref="J10:S10" si="0">IF(YEAR(J$4)&lt;=PPLastYear,J$4,"")</f>
        <v>43983</v>
      </c>
      <c r="K10" s="61">
        <f t="shared" si="0"/>
        <v>44348</v>
      </c>
      <c r="L10" s="61">
        <f t="shared" si="0"/>
        <v>44713</v>
      </c>
      <c r="M10" s="61">
        <f t="shared" si="0"/>
        <v>45078</v>
      </c>
      <c r="N10" s="61">
        <f t="shared" si="0"/>
        <v>45444</v>
      </c>
      <c r="O10" s="61" t="str">
        <f t="shared" si="0"/>
        <v/>
      </c>
      <c r="P10" s="61" t="str">
        <f t="shared" si="0"/>
        <v/>
      </c>
      <c r="Q10" s="61" t="str">
        <f t="shared" si="0"/>
        <v/>
      </c>
      <c r="R10" s="61" t="str">
        <f t="shared" si="0"/>
        <v/>
      </c>
      <c r="S10" s="61" t="str">
        <f t="shared" si="0"/>
        <v/>
      </c>
    </row>
    <row r="11" spans="1:30" x14ac:dyDescent="0.2">
      <c r="C11" s="54"/>
      <c r="J11" s="63"/>
      <c r="K11" s="63"/>
      <c r="L11" s="63"/>
      <c r="M11" s="63"/>
      <c r="N11" s="63"/>
      <c r="O11" s="63"/>
      <c r="P11" s="63"/>
      <c r="Q11" s="63"/>
      <c r="R11" s="63"/>
      <c r="S11" s="63"/>
    </row>
    <row r="12" spans="1:30" x14ac:dyDescent="0.2">
      <c r="C12" s="54" t="s">
        <v>171</v>
      </c>
      <c r="D12" s="147" t="s">
        <v>90</v>
      </c>
      <c r="E12" s="21" t="str">
        <f>$E$8</f>
        <v>$millions</v>
      </c>
      <c r="F12" s="68" t="s">
        <v>107</v>
      </c>
      <c r="J12" s="69"/>
      <c r="K12" s="69"/>
      <c r="L12" s="69"/>
      <c r="M12" s="80">
        <v>0</v>
      </c>
      <c r="N12" s="63"/>
      <c r="O12" s="78"/>
      <c r="P12" s="78"/>
      <c r="Q12" s="78"/>
      <c r="R12" s="78"/>
      <c r="S12" s="78"/>
    </row>
    <row r="13" spans="1:30" ht="10.5" x14ac:dyDescent="0.25">
      <c r="C13" s="54" t="str">
        <f>C12</f>
        <v>Network innovation program</v>
      </c>
      <c r="D13" s="21" t="s">
        <v>70</v>
      </c>
      <c r="E13" s="21" t="str">
        <f>$E$8</f>
        <v>$millions</v>
      </c>
      <c r="F13" s="70">
        <f>$F$8</f>
        <v>45444</v>
      </c>
      <c r="J13" s="71"/>
      <c r="K13" s="71"/>
      <c r="L13" s="71"/>
      <c r="M13" s="78">
        <f>M12*IF($F12="nominal",LOOKUP($F13,'Lookup|Tables'!Nominal_to_Real,'Calc|CPI Indexes'!N$31:N$42),INDEX('Calc|CPI Indexes'!$C$14:$T$27,MATCH($F12,'Calc|CPI Indexes'!$C$14:$C$27,0),MATCH($F13,'Calc|CPI Indexes'!$C$14:$T$14,0)))</f>
        <v>0</v>
      </c>
      <c r="N13" s="63"/>
      <c r="O13" s="78"/>
      <c r="P13" s="79"/>
      <c r="Q13" s="79"/>
      <c r="R13" s="79"/>
      <c r="S13" s="79"/>
    </row>
    <row r="14" spans="1:30" x14ac:dyDescent="0.2">
      <c r="J14" s="63"/>
      <c r="K14" s="63"/>
      <c r="L14" s="63"/>
    </row>
    <row r="15" spans="1:30" s="19" customFormat="1" ht="13" x14ac:dyDescent="0.3">
      <c r="A15" s="12"/>
      <c r="B15" s="13" t="s">
        <v>91</v>
      </c>
      <c r="C15" s="12"/>
      <c r="D15" s="12"/>
      <c r="E15" s="12"/>
      <c r="F15" s="14"/>
      <c r="G15" s="14"/>
      <c r="H15" s="14"/>
      <c r="I15" s="14"/>
      <c r="J15" s="15"/>
      <c r="K15" s="16"/>
      <c r="L15" s="15"/>
      <c r="M15" s="16"/>
      <c r="N15" s="15"/>
      <c r="O15" s="15"/>
      <c r="P15" s="15"/>
      <c r="Q15" s="15"/>
      <c r="R15" s="15"/>
      <c r="S15" s="15"/>
      <c r="T15" s="15"/>
      <c r="U15" s="15"/>
      <c r="V15" s="16"/>
      <c r="W15" s="16"/>
      <c r="X15" s="17"/>
      <c r="Y15" s="17"/>
      <c r="Z15" s="17"/>
      <c r="AA15" s="17"/>
      <c r="AB15" s="17"/>
      <c r="AC15" s="18"/>
      <c r="AD15" s="18"/>
    </row>
    <row r="16" spans="1:30" x14ac:dyDescent="0.2">
      <c r="C16" s="54"/>
      <c r="J16" s="63"/>
      <c r="K16" s="63"/>
      <c r="L16" s="63"/>
    </row>
    <row r="17" spans="1:30" ht="10.5" x14ac:dyDescent="0.25">
      <c r="C17" s="29" t="s">
        <v>92</v>
      </c>
      <c r="D17" s="23" t="s">
        <v>45</v>
      </c>
      <c r="E17" s="23" t="s">
        <v>72</v>
      </c>
      <c r="F17" s="23" t="s">
        <v>78</v>
      </c>
      <c r="J17" s="61" t="str">
        <f>IF(YEAR(J$4)&gt;='Input|General'!$G$13,IF(YEAR(J$4)&lt;='Input|General'!$G$14,J$4,""),"")</f>
        <v/>
      </c>
      <c r="K17" s="61" t="str">
        <f>IF(YEAR(K$4)&gt;='Input|General'!$G$13,IF(YEAR(K$4)&lt;='Input|General'!$G$14,K$4,""),"")</f>
        <v/>
      </c>
      <c r="L17" s="61" t="str">
        <f>IF(YEAR(L$4)&gt;='Input|General'!$G$13,IF(YEAR(L$4)&lt;='Input|General'!$G$14,L$4,""),"")</f>
        <v/>
      </c>
      <c r="M17" s="61" t="str">
        <f>IF(YEAR(M$4)&gt;='Input|General'!$G$13,IF(YEAR(M$4)&lt;='Input|General'!$G$14,M$4,""),"")</f>
        <v/>
      </c>
      <c r="N17" s="61" t="str">
        <f>IF(YEAR(N$4)&gt;='Input|General'!$G$13,IF(YEAR(N$4)&lt;='Input|General'!$G$14,N$4,""),"")</f>
        <v/>
      </c>
      <c r="O17" s="154">
        <f>IF(YEAR(O$4)&gt;=FPFirstYear,IF(YEAR(O$4)&lt;=FPLastYear,O$4,""),"")</f>
        <v>45809</v>
      </c>
      <c r="P17" s="154">
        <f>IF(YEAR(P$4)&gt;=FPFirstYear,IF(YEAR(P$4)&lt;=FPLastYear,P$4,""),"")</f>
        <v>46174</v>
      </c>
      <c r="Q17" s="154">
        <f>IF(YEAR(Q$4)&gt;=FPFirstYear,IF(YEAR(Q$4)&lt;=FPLastYear,Q$4,""),"")</f>
        <v>46539</v>
      </c>
      <c r="R17" s="154">
        <f>IF(YEAR(R$4)&gt;=FPFirstYear,IF(YEAR(R$4)&lt;=FPLastYear,R$4,""),"")</f>
        <v>46905</v>
      </c>
      <c r="S17" s="154">
        <f>IF(YEAR(S$4)&gt;=FPFirstYear,IF(YEAR(S$4)&lt;=FPLastYear,S$4,""),"")</f>
        <v>47270</v>
      </c>
    </row>
    <row r="18" spans="1:30" ht="10.5" x14ac:dyDescent="0.25">
      <c r="C18" s="29"/>
      <c r="J18" s="24"/>
      <c r="K18" s="24"/>
      <c r="L18" s="24"/>
      <c r="M18" s="24"/>
      <c r="N18" s="24"/>
      <c r="O18" s="24"/>
      <c r="P18" s="24"/>
      <c r="Q18" s="24"/>
      <c r="R18" s="24"/>
      <c r="S18" s="24"/>
    </row>
    <row r="19" spans="1:30" x14ac:dyDescent="0.2">
      <c r="C19" s="54" t="s">
        <v>171</v>
      </c>
      <c r="D19" s="147" t="s">
        <v>90</v>
      </c>
      <c r="E19" s="21" t="str">
        <f>$E$8</f>
        <v>$millions</v>
      </c>
      <c r="F19" s="68">
        <v>45444</v>
      </c>
      <c r="J19" s="73"/>
      <c r="K19" s="73"/>
      <c r="L19" s="73"/>
      <c r="M19" s="73"/>
      <c r="N19" s="73"/>
      <c r="O19" s="80">
        <v>0.9</v>
      </c>
      <c r="P19" s="80">
        <v>0.9</v>
      </c>
      <c r="Q19" s="80">
        <v>0.9</v>
      </c>
      <c r="R19" s="80">
        <v>0.9</v>
      </c>
      <c r="S19" s="80">
        <v>0.9</v>
      </c>
    </row>
    <row r="20" spans="1:30" x14ac:dyDescent="0.2">
      <c r="C20" s="54" t="str">
        <f>C19</f>
        <v>Network innovation program</v>
      </c>
      <c r="D20" s="21" t="s">
        <v>70</v>
      </c>
      <c r="E20" s="21" t="str">
        <f>$E$8</f>
        <v>$millions</v>
      </c>
      <c r="F20" s="70">
        <f t="shared" ref="F20" si="1">$F$8</f>
        <v>45444</v>
      </c>
      <c r="J20" s="73"/>
      <c r="K20" s="73"/>
      <c r="L20" s="73"/>
      <c r="M20" s="73"/>
      <c r="N20" s="73"/>
      <c r="O20" s="78">
        <f>O19*IF($F19="nominal",LOOKUP($F20,'Lookup|Tables'!Nominal_to_Real,'Calc|CPI Indexes'!P$31:P$42),INDEX('Calc|CPI Indexes'!$C$14:$T$27,MATCH($F19,'Calc|CPI Indexes'!$C$14:$C$27,0),MATCH($F20,'Calc|CPI Indexes'!$C$14:$T$14,0)))</f>
        <v>0.9</v>
      </c>
      <c r="P20" s="78">
        <f>P19*IF($F19="nominal",LOOKUP($F20,'Lookup|Tables'!Nominal_to_Real,'Calc|CPI Indexes'!Q$31:Q$42),INDEX('Calc|CPI Indexes'!$C$14:$T$27,MATCH($F19,'Calc|CPI Indexes'!$C$14:$C$27,0),MATCH($F20,'Calc|CPI Indexes'!$C$14:$T$14,0)))</f>
        <v>0.9</v>
      </c>
      <c r="Q20" s="78">
        <f>Q19*IF($F19="nominal",LOOKUP($F20,'Lookup|Tables'!Nominal_to_Real,'Calc|CPI Indexes'!R$31:R$42),INDEX('Calc|CPI Indexes'!$C$14:$T$27,MATCH($F19,'Calc|CPI Indexes'!$C$14:$C$27,0),MATCH($F20,'Calc|CPI Indexes'!$C$14:$T$14,0)))</f>
        <v>0.9</v>
      </c>
      <c r="R20" s="78">
        <f>R19*IF($F19="nominal",LOOKUP($F20,'Lookup|Tables'!Nominal_to_Real,'Calc|CPI Indexes'!S$31:S$42),INDEX('Calc|CPI Indexes'!$C$14:$T$27,MATCH($F19,'Calc|CPI Indexes'!$C$14:$C$27,0),MATCH($F20,'Calc|CPI Indexes'!$C$14:$T$14,0)))</f>
        <v>0.9</v>
      </c>
      <c r="S20" s="78">
        <f>S19*IF($F19="nominal",LOOKUP($F20,'Lookup|Tables'!Nominal_to_Real,'Calc|CPI Indexes'!T$31:T$42),INDEX('Calc|CPI Indexes'!$C$14:$T$27,MATCH($F19,'Calc|CPI Indexes'!$C$14:$C$27,0),MATCH($F20,'Calc|CPI Indexes'!$C$14:$T$14,0)))</f>
        <v>0.9</v>
      </c>
    </row>
    <row r="21" spans="1:30" x14ac:dyDescent="0.2">
      <c r="C21" s="72"/>
      <c r="F21" s="70"/>
      <c r="J21" s="73"/>
      <c r="K21" s="73"/>
      <c r="L21" s="73"/>
      <c r="M21" s="73"/>
      <c r="N21" s="73"/>
      <c r="O21" s="73"/>
      <c r="P21" s="73"/>
      <c r="Q21" s="73"/>
      <c r="R21" s="73"/>
      <c r="S21" s="73"/>
    </row>
    <row r="22" spans="1:30" s="19" customFormat="1" ht="13" x14ac:dyDescent="0.3">
      <c r="A22" s="12"/>
      <c r="B22" s="13" t="s">
        <v>172</v>
      </c>
      <c r="C22" s="12"/>
      <c r="D22" s="12"/>
      <c r="E22" s="12"/>
      <c r="F22" s="14"/>
      <c r="G22" s="14"/>
      <c r="H22" s="14"/>
      <c r="I22" s="14"/>
      <c r="J22" s="15"/>
      <c r="K22" s="16"/>
      <c r="L22" s="15"/>
      <c r="M22" s="16"/>
      <c r="N22" s="15"/>
      <c r="O22" s="15"/>
      <c r="P22" s="15"/>
      <c r="Q22" s="15"/>
      <c r="R22" s="15"/>
      <c r="S22" s="15"/>
      <c r="T22" s="15"/>
      <c r="U22" s="15"/>
      <c r="V22" s="16"/>
      <c r="W22" s="16"/>
      <c r="X22" s="17"/>
      <c r="Y22" s="17"/>
      <c r="Z22" s="17"/>
      <c r="AA22" s="17"/>
      <c r="AB22" s="17"/>
      <c r="AC22" s="18"/>
      <c r="AD22" s="18"/>
    </row>
    <row r="23" spans="1:30" x14ac:dyDescent="0.2">
      <c r="C23" s="54"/>
      <c r="J23" s="63"/>
      <c r="K23" s="63"/>
      <c r="L23" s="63"/>
    </row>
    <row r="24" spans="1:30" ht="10.5" x14ac:dyDescent="0.25">
      <c r="C24" s="29" t="s">
        <v>94</v>
      </c>
      <c r="D24" s="23" t="s">
        <v>45</v>
      </c>
      <c r="E24" s="23" t="s">
        <v>72</v>
      </c>
      <c r="F24" s="23" t="s">
        <v>78</v>
      </c>
      <c r="J24" s="61" t="str">
        <f>IF(YEAR(J$4)&gt;='Input|General'!$G$13,IF(YEAR(J$4)&lt;='Input|General'!$G$14,J$4,""),"")</f>
        <v/>
      </c>
      <c r="K24" s="61" t="str">
        <f>IF(YEAR(K$4)&gt;='Input|General'!$G$13,IF(YEAR(K$4)&lt;='Input|General'!$G$14,K$4,""),"")</f>
        <v/>
      </c>
      <c r="L24" s="61" t="str">
        <f>IF(YEAR(L$4)&gt;='Input|General'!$G$13,IF(YEAR(L$4)&lt;='Input|General'!$G$14,L$4,""),"")</f>
        <v/>
      </c>
      <c r="M24" s="61" t="str">
        <f>IF(YEAR(M$4)&gt;='Input|General'!$G$13,IF(YEAR(M$4)&lt;='Input|General'!$G$14,M$4,""),"")</f>
        <v/>
      </c>
      <c r="N24" s="61" t="str">
        <f>IF(YEAR(N$4)&gt;='Input|General'!$G$13,IF(YEAR(N$4)&lt;='Input|General'!$G$14,N$4,""),"")</f>
        <v/>
      </c>
      <c r="O24" s="154">
        <f>IF(YEAR(O$4)&gt;=FPFirstYear,IF(YEAR(O$4)&lt;=FPLastYear,O$4,""),"")</f>
        <v>45809</v>
      </c>
      <c r="P24" s="154">
        <f>IF(YEAR(P$4)&gt;=FPFirstYear,IF(YEAR(P$4)&lt;=FPLastYear,P$4,""),"")</f>
        <v>46174</v>
      </c>
      <c r="Q24" s="154">
        <f>IF(YEAR(Q$4)&gt;=FPFirstYear,IF(YEAR(Q$4)&lt;=FPLastYear,Q$4,""),"")</f>
        <v>46539</v>
      </c>
      <c r="R24" s="154">
        <f>IF(YEAR(R$4)&gt;=FPFirstYear,IF(YEAR(R$4)&lt;=FPLastYear,R$4,""),"")</f>
        <v>46905</v>
      </c>
      <c r="S24" s="154">
        <f>IF(YEAR(S$4)&gt;=FPFirstYear,IF(YEAR(S$4)&lt;=FPLastYear,S$4,""),"")</f>
        <v>47270</v>
      </c>
    </row>
    <row r="25" spans="1:30" ht="10.5" x14ac:dyDescent="0.25">
      <c r="C25" s="29"/>
      <c r="D25" s="23"/>
      <c r="E25" s="23"/>
      <c r="F25" s="23"/>
      <c r="J25" s="61"/>
      <c r="K25" s="61"/>
      <c r="L25" s="61"/>
      <c r="M25" s="61"/>
      <c r="N25" s="61"/>
      <c r="O25" s="61"/>
      <c r="P25" s="61"/>
      <c r="Q25" s="61"/>
      <c r="R25" s="61"/>
      <c r="S25" s="61"/>
    </row>
    <row r="26" spans="1:30" x14ac:dyDescent="0.2">
      <c r="C26" s="54" t="s">
        <v>173</v>
      </c>
      <c r="D26" s="21" t="s">
        <v>70</v>
      </c>
      <c r="E26" s="21" t="str">
        <f>$E$8</f>
        <v>$millions</v>
      </c>
      <c r="F26" s="70">
        <f>F20</f>
        <v>45444</v>
      </c>
      <c r="J26" s="73"/>
      <c r="K26" s="73"/>
      <c r="L26" s="73"/>
      <c r="M26" s="73"/>
      <c r="N26" s="73"/>
      <c r="O26" s="78">
        <f>O20</f>
        <v>0.9</v>
      </c>
      <c r="P26" s="78">
        <f>P20</f>
        <v>0.9</v>
      </c>
      <c r="Q26" s="78">
        <f>Q20</f>
        <v>0.9</v>
      </c>
      <c r="R26" s="78">
        <f>R20</f>
        <v>0.9</v>
      </c>
      <c r="S26" s="78">
        <f>S20</f>
        <v>0.9</v>
      </c>
    </row>
    <row r="27" spans="1:30" ht="10.5" x14ac:dyDescent="0.25">
      <c r="C27" s="54" t="s">
        <v>174</v>
      </c>
      <c r="D27" s="21" t="s">
        <v>70</v>
      </c>
      <c r="E27" s="21" t="str">
        <f>$E$8</f>
        <v>$millions</v>
      </c>
      <c r="F27" s="70">
        <f>F13</f>
        <v>45444</v>
      </c>
      <c r="J27" s="24"/>
      <c r="K27" s="24"/>
      <c r="L27" s="24"/>
      <c r="M27" s="24"/>
      <c r="N27" s="24"/>
      <c r="O27" s="78">
        <f>$M$13</f>
        <v>0</v>
      </c>
      <c r="P27" s="78">
        <f t="shared" ref="P27:S27" si="2">$M$13</f>
        <v>0</v>
      </c>
      <c r="Q27" s="78">
        <f t="shared" si="2"/>
        <v>0</v>
      </c>
      <c r="R27" s="78">
        <f t="shared" si="2"/>
        <v>0</v>
      </c>
      <c r="S27" s="78">
        <f t="shared" si="2"/>
        <v>0</v>
      </c>
    </row>
    <row r="28" spans="1:30" ht="3" customHeight="1" x14ac:dyDescent="0.2">
      <c r="F28" s="105"/>
      <c r="O28" s="100"/>
      <c r="P28" s="100"/>
      <c r="Q28" s="100"/>
      <c r="R28" s="100"/>
      <c r="S28" s="100"/>
    </row>
    <row r="29" spans="1:30" ht="10.5" x14ac:dyDescent="0.25">
      <c r="C29" s="74" t="s">
        <v>175</v>
      </c>
      <c r="D29" s="75" t="s">
        <v>70</v>
      </c>
      <c r="E29" s="75" t="str">
        <f>$E$8</f>
        <v>$millions</v>
      </c>
      <c r="F29" s="76">
        <f>F27</f>
        <v>45444</v>
      </c>
      <c r="G29" s="23"/>
      <c r="H29" s="23"/>
      <c r="I29" s="23"/>
      <c r="J29" s="77"/>
      <c r="K29" s="77"/>
      <c r="L29" s="77"/>
      <c r="M29" s="77"/>
      <c r="N29" s="77"/>
      <c r="O29" s="79">
        <f>O26-O27</f>
        <v>0.9</v>
      </c>
      <c r="P29" s="79">
        <f>P26-P27</f>
        <v>0.9</v>
      </c>
      <c r="Q29" s="79">
        <f>Q26-Q27</f>
        <v>0.9</v>
      </c>
      <c r="R29" s="79">
        <f>R26-R27</f>
        <v>0.9</v>
      </c>
      <c r="S29" s="79">
        <f>S26-S27</f>
        <v>0.9</v>
      </c>
    </row>
    <row r="30" spans="1:30" ht="10.5" x14ac:dyDescent="0.25">
      <c r="C30" s="106"/>
      <c r="D30" s="23"/>
      <c r="E30" s="23"/>
      <c r="F30" s="76"/>
      <c r="G30" s="23"/>
      <c r="H30" s="23"/>
      <c r="I30" s="23"/>
      <c r="J30" s="77"/>
      <c r="K30" s="77"/>
      <c r="L30" s="77"/>
      <c r="M30" s="77"/>
      <c r="N30" s="77"/>
      <c r="O30" s="79"/>
      <c r="P30" s="79"/>
      <c r="Q30" s="79"/>
      <c r="R30" s="79"/>
      <c r="S30" s="79"/>
    </row>
    <row r="31" spans="1:30" s="19" customFormat="1" ht="13" x14ac:dyDescent="0.3">
      <c r="A31" s="12"/>
      <c r="B31" s="13" t="s">
        <v>41</v>
      </c>
      <c r="C31" s="12"/>
      <c r="D31" s="12"/>
      <c r="E31" s="12"/>
      <c r="F31" s="14"/>
      <c r="G31" s="14"/>
      <c r="H31" s="14"/>
      <c r="I31" s="14"/>
      <c r="J31" s="15"/>
      <c r="K31" s="16"/>
      <c r="L31" s="15"/>
      <c r="M31" s="16"/>
      <c r="N31" s="15"/>
      <c r="O31" s="15"/>
      <c r="P31" s="15"/>
      <c r="Q31" s="15"/>
      <c r="R31" s="15"/>
      <c r="S31" s="15"/>
      <c r="T31" s="15"/>
      <c r="U31" s="15"/>
      <c r="V31" s="16"/>
      <c r="W31" s="16"/>
      <c r="X31" s="17"/>
      <c r="Y31" s="17"/>
      <c r="Z31" s="17"/>
      <c r="AA31" s="17"/>
      <c r="AB31" s="17"/>
      <c r="AC31" s="18"/>
      <c r="AD31" s="18"/>
    </row>
    <row r="32" spans="1:30" hidden="1" x14ac:dyDescent="0.2">
      <c r="C32" s="54"/>
      <c r="D32" s="63"/>
      <c r="E32" s="63"/>
      <c r="F32" s="108"/>
      <c r="G32" s="63"/>
      <c r="H32" s="63"/>
      <c r="I32" s="63"/>
      <c r="J32" s="73"/>
      <c r="K32" s="73"/>
      <c r="L32" s="73"/>
      <c r="M32" s="73"/>
      <c r="N32" s="73"/>
      <c r="O32" s="78"/>
      <c r="P32" s="78"/>
      <c r="Q32" s="78"/>
      <c r="R32" s="78"/>
      <c r="S32" s="78"/>
    </row>
    <row r="33" spans="1:30" hidden="1" x14ac:dyDescent="0.2">
      <c r="C33" s="54"/>
      <c r="D33" s="63"/>
      <c r="E33" s="63"/>
      <c r="F33" s="108"/>
      <c r="G33" s="63"/>
      <c r="H33" s="63"/>
      <c r="I33" s="63"/>
      <c r="J33" s="73"/>
      <c r="K33" s="73"/>
      <c r="L33" s="73"/>
      <c r="M33" s="73"/>
      <c r="N33" s="73"/>
      <c r="O33" s="78"/>
      <c r="P33" s="78"/>
      <c r="Q33" s="78"/>
      <c r="R33" s="78"/>
      <c r="S33" s="78"/>
    </row>
    <row r="34" spans="1:30" hidden="1" x14ac:dyDescent="0.2">
      <c r="C34" s="54"/>
      <c r="D34" s="63"/>
      <c r="E34" s="63"/>
      <c r="F34" s="108"/>
      <c r="G34" s="63"/>
      <c r="H34" s="63"/>
      <c r="I34" s="63"/>
      <c r="J34" s="73"/>
      <c r="K34" s="73"/>
      <c r="L34" s="73"/>
      <c r="M34" s="73"/>
      <c r="N34" s="73"/>
      <c r="O34" s="78"/>
      <c r="P34" s="78"/>
      <c r="Q34" s="78"/>
      <c r="R34" s="78"/>
      <c r="S34" s="78"/>
    </row>
    <row r="35" spans="1:30" hidden="1" x14ac:dyDescent="0.2">
      <c r="C35" s="54"/>
      <c r="D35" s="63"/>
      <c r="E35" s="63"/>
      <c r="F35" s="108"/>
      <c r="G35" s="63"/>
      <c r="H35" s="63"/>
      <c r="I35" s="63"/>
      <c r="J35" s="73"/>
      <c r="K35" s="73"/>
      <c r="L35" s="73"/>
      <c r="M35" s="73"/>
      <c r="N35" s="73"/>
      <c r="O35" s="78"/>
      <c r="P35" s="78"/>
      <c r="Q35" s="78"/>
      <c r="R35" s="78"/>
      <c r="S35" s="78"/>
    </row>
    <row r="36" spans="1:30" hidden="1" x14ac:dyDescent="0.2">
      <c r="C36" s="54"/>
      <c r="D36" s="63"/>
      <c r="E36" s="63"/>
      <c r="F36" s="108"/>
      <c r="G36" s="63"/>
      <c r="H36" s="63"/>
      <c r="I36" s="63"/>
      <c r="J36" s="73"/>
      <c r="K36" s="73"/>
      <c r="L36" s="73"/>
      <c r="M36" s="73"/>
      <c r="N36" s="73"/>
      <c r="O36" s="78"/>
      <c r="P36" s="78"/>
      <c r="Q36" s="78"/>
      <c r="R36" s="78"/>
      <c r="S36" s="78"/>
    </row>
    <row r="37" spans="1:30" hidden="1" x14ac:dyDescent="0.2">
      <c r="C37" s="54"/>
      <c r="D37" s="63"/>
      <c r="E37" s="63"/>
      <c r="F37" s="108"/>
      <c r="G37" s="63"/>
      <c r="H37" s="63"/>
      <c r="I37" s="63"/>
      <c r="J37" s="73"/>
      <c r="K37" s="73"/>
      <c r="L37" s="73"/>
      <c r="M37" s="73"/>
      <c r="N37" s="73"/>
      <c r="O37" s="78"/>
      <c r="P37" s="78"/>
      <c r="Q37" s="78"/>
      <c r="R37" s="78"/>
      <c r="S37" s="78"/>
    </row>
    <row r="38" spans="1:30" hidden="1" x14ac:dyDescent="0.2">
      <c r="C38" s="54"/>
      <c r="D38" s="63"/>
      <c r="E38" s="63"/>
      <c r="F38" s="108"/>
      <c r="G38" s="63"/>
      <c r="H38" s="63"/>
      <c r="I38" s="63"/>
      <c r="J38" s="73"/>
      <c r="K38" s="73"/>
      <c r="L38" s="73"/>
      <c r="M38" s="73"/>
      <c r="N38" s="73"/>
      <c r="O38" s="78"/>
      <c r="P38" s="78"/>
      <c r="Q38" s="78"/>
      <c r="R38" s="78"/>
      <c r="S38" s="78"/>
    </row>
    <row r="39" spans="1:30" hidden="1" x14ac:dyDescent="0.2">
      <c r="C39" s="54"/>
      <c r="D39" s="63"/>
      <c r="E39" s="63"/>
      <c r="F39" s="108"/>
      <c r="G39" s="63"/>
      <c r="H39" s="63"/>
      <c r="I39" s="63"/>
      <c r="J39" s="73"/>
      <c r="K39" s="73"/>
      <c r="L39" s="73"/>
      <c r="M39" s="73"/>
      <c r="N39" s="73"/>
      <c r="O39" s="78"/>
      <c r="P39" s="78"/>
      <c r="Q39" s="78"/>
      <c r="R39" s="78"/>
      <c r="S39" s="78"/>
    </row>
    <row r="40" spans="1:30" hidden="1" x14ac:dyDescent="0.2">
      <c r="C40" s="54"/>
      <c r="D40" s="63"/>
      <c r="E40" s="63"/>
      <c r="F40" s="108"/>
      <c r="G40" s="63"/>
      <c r="H40" s="63"/>
      <c r="I40" s="63"/>
      <c r="J40" s="73"/>
      <c r="K40" s="73"/>
      <c r="L40" s="73"/>
      <c r="M40" s="73"/>
      <c r="N40" s="73"/>
      <c r="O40" s="78"/>
      <c r="P40" s="78"/>
      <c r="Q40" s="78"/>
      <c r="R40" s="78"/>
      <c r="S40" s="78"/>
    </row>
    <row r="41" spans="1:30" hidden="1" x14ac:dyDescent="0.2">
      <c r="C41" s="54"/>
      <c r="D41" s="63"/>
      <c r="E41" s="63"/>
      <c r="F41" s="108"/>
      <c r="G41" s="63"/>
      <c r="H41" s="63"/>
      <c r="I41" s="63"/>
      <c r="J41" s="73"/>
      <c r="K41" s="73"/>
      <c r="L41" s="73"/>
      <c r="M41" s="73"/>
      <c r="N41" s="73"/>
      <c r="O41" s="78"/>
      <c r="P41" s="78"/>
      <c r="Q41" s="78"/>
      <c r="R41" s="78"/>
      <c r="S41" s="78"/>
    </row>
    <row r="42" spans="1:30" hidden="1" x14ac:dyDescent="0.2">
      <c r="C42" s="54"/>
      <c r="D42" s="63"/>
      <c r="E42" s="63"/>
      <c r="F42" s="108"/>
      <c r="G42" s="63"/>
      <c r="H42" s="63"/>
      <c r="I42" s="63"/>
      <c r="J42" s="73"/>
      <c r="K42" s="73"/>
      <c r="L42" s="73"/>
      <c r="M42" s="73"/>
      <c r="N42" s="73"/>
      <c r="O42" s="78"/>
      <c r="P42" s="78"/>
      <c r="Q42" s="78"/>
      <c r="R42" s="78"/>
      <c r="S42" s="78"/>
    </row>
    <row r="43" spans="1:30" hidden="1" x14ac:dyDescent="0.2">
      <c r="C43" s="54"/>
      <c r="D43" s="63"/>
      <c r="E43" s="63"/>
      <c r="F43" s="108"/>
      <c r="G43" s="63"/>
      <c r="H43" s="63"/>
      <c r="I43" s="63"/>
      <c r="J43" s="73"/>
      <c r="K43" s="73"/>
      <c r="L43" s="73"/>
      <c r="M43" s="73"/>
      <c r="N43" s="73"/>
      <c r="O43" s="78"/>
      <c r="P43" s="78"/>
      <c r="Q43" s="78"/>
      <c r="R43" s="78"/>
      <c r="S43" s="78"/>
    </row>
    <row r="44" spans="1:30" hidden="1" x14ac:dyDescent="0.2">
      <c r="C44" s="54"/>
      <c r="D44" s="63"/>
      <c r="E44" s="63"/>
      <c r="F44" s="108"/>
      <c r="G44" s="63"/>
      <c r="H44" s="63"/>
      <c r="I44" s="63"/>
      <c r="J44" s="73"/>
      <c r="K44" s="73"/>
      <c r="L44" s="73"/>
      <c r="M44" s="73"/>
      <c r="N44" s="73"/>
      <c r="O44" s="78"/>
      <c r="P44" s="78"/>
      <c r="Q44" s="78"/>
      <c r="R44" s="78"/>
      <c r="S44" s="78"/>
    </row>
    <row r="45" spans="1:30" hidden="1" x14ac:dyDescent="0.2">
      <c r="C45" s="54"/>
      <c r="D45" s="63"/>
      <c r="E45" s="63"/>
      <c r="F45" s="108"/>
      <c r="G45" s="63"/>
      <c r="H45" s="63"/>
      <c r="I45" s="63"/>
      <c r="J45" s="73"/>
      <c r="K45" s="73"/>
      <c r="L45" s="73"/>
      <c r="M45" s="73"/>
      <c r="N45" s="73"/>
      <c r="O45" s="78"/>
      <c r="P45" s="78"/>
      <c r="Q45" s="78"/>
      <c r="R45" s="78"/>
      <c r="S45" s="78"/>
    </row>
    <row r="46" spans="1:30" hidden="1" x14ac:dyDescent="0.2">
      <c r="C46" s="54"/>
      <c r="D46" s="63"/>
      <c r="E46" s="63"/>
      <c r="F46" s="63"/>
      <c r="G46" s="63"/>
      <c r="H46" s="63"/>
      <c r="I46" s="63"/>
      <c r="J46" s="63"/>
      <c r="K46" s="63"/>
      <c r="L46" s="63"/>
      <c r="M46" s="63"/>
      <c r="N46" s="107"/>
      <c r="O46" s="107"/>
      <c r="P46" s="107"/>
      <c r="Q46" s="107"/>
      <c r="R46" s="107"/>
      <c r="S46" s="107"/>
    </row>
    <row r="47" spans="1:30" s="19" customFormat="1" ht="13" hidden="1" x14ac:dyDescent="0.3">
      <c r="A47" s="12"/>
      <c r="B47" s="13" t="s">
        <v>41</v>
      </c>
      <c r="C47" s="12"/>
      <c r="D47" s="12"/>
      <c r="E47" s="12"/>
      <c r="F47" s="14"/>
      <c r="G47" s="14"/>
      <c r="H47" s="14"/>
      <c r="I47" s="14"/>
      <c r="J47" s="15"/>
      <c r="K47" s="16"/>
      <c r="L47" s="15"/>
      <c r="M47" s="16"/>
      <c r="N47" s="15"/>
      <c r="O47" s="15"/>
      <c r="P47" s="15"/>
      <c r="Q47" s="15"/>
      <c r="R47" s="15"/>
      <c r="S47" s="15"/>
      <c r="T47" s="15"/>
      <c r="U47" s="15"/>
      <c r="V47" s="16"/>
      <c r="W47" s="16"/>
      <c r="X47" s="17"/>
      <c r="Y47" s="17"/>
      <c r="Z47" s="17"/>
      <c r="AA47" s="17"/>
      <c r="AB47" s="17"/>
      <c r="AC47" s="18"/>
      <c r="AD47" s="18"/>
    </row>
  </sheetData>
  <mergeCells count="1">
    <mergeCell ref="N3:S3"/>
  </mergeCells>
  <conditionalFormatting sqref="O17:S17 O24:S24">
    <cfRule type="expression" dxfId="24" priority="1">
      <formula>O$10=O$4</formula>
    </cfRule>
  </conditionalFormatting>
  <dataValidations count="1">
    <dataValidation type="list" allowBlank="1" showInputMessage="1" showErrorMessage="1" sqref="F46" xr:uid="{07B616F8-09A6-4CF0-B935-87281CC119FF}">
      <formula1>"Real 2010,Real 2011,Real 2012,Real 2013,Real 2014,Real 2015,Nominal"</formula1>
    </dataValidation>
  </dataValidations>
  <pageMargins left="0.7" right="0.7" top="0.75" bottom="0.75" header="0.3" footer="0.3"/>
  <pageSetup paperSize="9" orientation="portrait" verticalDpi="4" r:id="rId1"/>
  <headerFooter>
    <oddFooter>&amp;L&amp;1#&amp;"Calibri"&amp;8&amp;K000000For Official use only</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4BBCAA27-F8C2-46A6-BBB6-B0731A0EFFE9}">
          <x14:formula1>
            <xm:f>'Lookup|Tables'!$G$81:$G$84</xm:f>
          </x14:formula1>
          <xm:sqref>F12 F19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BD6F9-44CD-4488-A644-4599FE1C6A89}">
  <sheetPr codeName="Sheet10">
    <tabColor rgb="FFCCFFCC"/>
  </sheetPr>
  <dimension ref="A1:AD54"/>
  <sheetViews>
    <sheetView showGridLines="0" zoomScale="98" zoomScaleNormal="98" workbookViewId="0"/>
  </sheetViews>
  <sheetFormatPr defaultColWidth="0" defaultRowHeight="10.25" customHeight="1" zeroHeight="1" x14ac:dyDescent="0.2"/>
  <cols>
    <col min="1" max="2" width="1.1796875" style="20" customWidth="1"/>
    <col min="3" max="3" width="62.54296875" style="20" bestFit="1" customWidth="1"/>
    <col min="4" max="4" width="22.54296875" style="21" customWidth="1"/>
    <col min="5" max="5" width="12.81640625" style="21" customWidth="1"/>
    <col min="6" max="6" width="8.81640625" style="21" customWidth="1"/>
    <col min="7" max="7" width="4.54296875" style="21" customWidth="1"/>
    <col min="8" max="9" width="2.81640625" style="21" customWidth="1"/>
    <col min="10" max="23" width="8.81640625" style="20" customWidth="1"/>
    <col min="24" max="38" width="8.54296875" style="20" hidden="1" customWidth="1"/>
    <col min="39" max="16384" width="8.54296875" style="20" hidden="1"/>
  </cols>
  <sheetData>
    <row r="1" spans="1:30" s="1" customFormat="1" ht="15.5" x14ac:dyDescent="0.35">
      <c r="B1" s="2" t="s">
        <v>42</v>
      </c>
      <c r="C1" s="2"/>
      <c r="D1" s="2"/>
      <c r="E1" s="2"/>
      <c r="F1" s="2"/>
      <c r="G1" s="2"/>
      <c r="H1" s="2"/>
      <c r="I1" s="2"/>
      <c r="J1" s="2"/>
      <c r="K1" s="2"/>
      <c r="L1" s="95" t="s">
        <v>58</v>
      </c>
      <c r="M1" s="96" t="s">
        <v>59</v>
      </c>
      <c r="N1" s="97" t="s">
        <v>61</v>
      </c>
      <c r="O1" s="2"/>
      <c r="P1" s="2"/>
      <c r="Q1" s="2"/>
      <c r="R1" s="2"/>
      <c r="S1" s="2"/>
      <c r="T1" s="2"/>
      <c r="U1" s="2"/>
      <c r="V1" s="2"/>
      <c r="W1" s="2"/>
    </row>
    <row r="2" spans="1:30" s="7" customFormat="1" ht="13.5" thickBot="1" x14ac:dyDescent="0.35">
      <c r="B2" s="8" t="s">
        <v>176</v>
      </c>
      <c r="C2" s="8"/>
      <c r="D2" s="8"/>
      <c r="E2" s="8"/>
      <c r="F2" s="9"/>
      <c r="G2" s="9"/>
      <c r="H2" s="9"/>
      <c r="I2" s="9"/>
    </row>
    <row r="3" spans="1:30" s="38" customFormat="1" ht="14.75" customHeight="1" x14ac:dyDescent="0.25">
      <c r="D3" s="39"/>
      <c r="E3" s="39"/>
      <c r="F3" s="39"/>
      <c r="G3" s="39"/>
      <c r="H3" s="39"/>
      <c r="I3" s="39"/>
      <c r="J3" s="64" t="s">
        <v>50</v>
      </c>
      <c r="K3" s="64"/>
      <c r="L3" s="64"/>
      <c r="M3" s="39"/>
      <c r="N3" s="202"/>
      <c r="O3" s="202"/>
      <c r="P3" s="202"/>
      <c r="Q3" s="202"/>
      <c r="R3" s="202"/>
      <c r="S3" s="202"/>
      <c r="T3" s="41"/>
      <c r="U3" s="41"/>
      <c r="V3" s="41"/>
      <c r="W3" s="41"/>
      <c r="X3" s="41"/>
      <c r="Y3" s="41"/>
      <c r="Z3" s="41"/>
    </row>
    <row r="4" spans="1:30" s="19" customFormat="1" ht="10" x14ac:dyDescent="0.2">
      <c r="A4" s="42"/>
      <c r="B4" s="42"/>
      <c r="C4" s="42"/>
      <c r="D4" s="43" t="s">
        <v>45</v>
      </c>
      <c r="E4" s="43" t="s">
        <v>72</v>
      </c>
      <c r="F4" s="44" t="s">
        <v>78</v>
      </c>
      <c r="G4" s="45"/>
      <c r="H4" s="45"/>
      <c r="I4" s="45"/>
      <c r="J4" s="46">
        <f>DATE(PPFirstYear,MONTH('Input|General'!$G$9),1)</f>
        <v>43983</v>
      </c>
      <c r="K4" s="46">
        <f>DATE(PPFirstYear+1,MONTH('Input|General'!$G$9),1)</f>
        <v>44348</v>
      </c>
      <c r="L4" s="46">
        <f>DATE(PPFirstYear+2,MONTH('Input|General'!$G$9),1)</f>
        <v>44713</v>
      </c>
      <c r="M4" s="46">
        <f>DATE(PPFirstYear+3,MONTH('Input|General'!$G$9),1)</f>
        <v>45078</v>
      </c>
      <c r="N4" s="46">
        <f>DATE(PPFirstYear+4,MONTH('Input|General'!$G$9),1)</f>
        <v>45444</v>
      </c>
      <c r="O4" s="46">
        <f>DATE(PPFirstYear+5,MONTH('Input|General'!$G$9),1)</f>
        <v>45809</v>
      </c>
      <c r="P4" s="46">
        <f>DATE(PPFirstYear+6,MONTH('Input|General'!$G$9),1)</f>
        <v>46174</v>
      </c>
      <c r="Q4" s="46">
        <f>DATE(PPFirstYear+7,MONTH('Input|General'!$G$9),1)</f>
        <v>46539</v>
      </c>
      <c r="R4" s="46">
        <f>DATE(PPFirstYear+8,MONTH('Input|General'!$G$9),1)</f>
        <v>46905</v>
      </c>
      <c r="S4" s="46">
        <f>DATE(PPFirstYear+9,MONTH('Input|General'!$G$9),1)</f>
        <v>47270</v>
      </c>
      <c r="T4" s="47"/>
      <c r="U4" s="47"/>
      <c r="V4" s="48"/>
      <c r="W4" s="48"/>
    </row>
    <row r="5" spans="1:30" s="10" customFormat="1" ht="3" customHeight="1" x14ac:dyDescent="0.2">
      <c r="D5" s="11"/>
      <c r="E5" s="11"/>
      <c r="F5" s="11"/>
      <c r="G5" s="11"/>
      <c r="H5" s="11"/>
      <c r="I5" s="11"/>
    </row>
    <row r="6" spans="1:30" s="10" customFormat="1" ht="10" x14ac:dyDescent="0.2">
      <c r="D6" s="11"/>
      <c r="E6" s="11"/>
      <c r="F6" s="11"/>
      <c r="G6" s="11"/>
      <c r="H6" s="11"/>
      <c r="I6" s="11"/>
    </row>
    <row r="7" spans="1:30" s="10" customFormat="1" ht="3" customHeight="1" x14ac:dyDescent="0.2">
      <c r="D7" s="11"/>
      <c r="E7" s="11"/>
      <c r="F7" s="11"/>
      <c r="G7" s="11"/>
      <c r="H7" s="11"/>
      <c r="I7" s="11"/>
    </row>
    <row r="8" spans="1:30" s="19" customFormat="1" ht="13" x14ac:dyDescent="0.3">
      <c r="A8" s="12"/>
      <c r="B8" s="13" t="s">
        <v>86</v>
      </c>
      <c r="C8" s="12"/>
      <c r="D8" s="12"/>
      <c r="E8" s="65" t="s">
        <v>87</v>
      </c>
      <c r="F8" s="81">
        <f>DATE(PPLastYear,MONTH('Input|General'!G9),1)</f>
        <v>45444</v>
      </c>
      <c r="G8" s="14"/>
      <c r="H8" s="14"/>
      <c r="I8" s="14"/>
      <c r="J8" s="15"/>
      <c r="K8" s="16"/>
      <c r="L8" s="15"/>
      <c r="M8" s="16"/>
      <c r="N8" s="15"/>
      <c r="O8" s="15"/>
      <c r="P8" s="15"/>
      <c r="Q8" s="15"/>
      <c r="R8" s="15"/>
      <c r="S8" s="15"/>
      <c r="T8" s="15"/>
      <c r="U8" s="15"/>
      <c r="V8" s="16"/>
      <c r="W8" s="16"/>
      <c r="X8" s="17"/>
      <c r="Y8" s="17"/>
      <c r="Z8" s="17"/>
      <c r="AA8" s="17"/>
      <c r="AB8" s="17"/>
      <c r="AC8" s="18"/>
      <c r="AD8" s="18"/>
    </row>
    <row r="9" spans="1:30" ht="10" x14ac:dyDescent="0.2"/>
    <row r="10" spans="1:30" ht="10.5" x14ac:dyDescent="0.25">
      <c r="C10" s="29" t="s">
        <v>88</v>
      </c>
      <c r="D10" s="23" t="s">
        <v>45</v>
      </c>
      <c r="E10" s="23" t="s">
        <v>72</v>
      </c>
      <c r="F10" s="23" t="s">
        <v>78</v>
      </c>
      <c r="J10" s="61">
        <f t="shared" ref="J10:S10" si="0">IF(YEAR(J$4)&lt;=PPLastYear,J$4,"")</f>
        <v>43983</v>
      </c>
      <c r="K10" s="61">
        <f t="shared" si="0"/>
        <v>44348</v>
      </c>
      <c r="L10" s="61">
        <f t="shared" si="0"/>
        <v>44713</v>
      </c>
      <c r="M10" s="61">
        <f t="shared" si="0"/>
        <v>45078</v>
      </c>
      <c r="N10" s="61">
        <f t="shared" si="0"/>
        <v>45444</v>
      </c>
      <c r="O10" s="61" t="str">
        <f t="shared" si="0"/>
        <v/>
      </c>
      <c r="P10" s="61" t="str">
        <f t="shared" si="0"/>
        <v/>
      </c>
      <c r="Q10" s="61" t="str">
        <f t="shared" si="0"/>
        <v/>
      </c>
      <c r="R10" s="61" t="str">
        <f t="shared" si="0"/>
        <v/>
      </c>
      <c r="S10" s="61" t="str">
        <f t="shared" si="0"/>
        <v/>
      </c>
    </row>
    <row r="11" spans="1:30" ht="10" x14ac:dyDescent="0.2">
      <c r="C11" s="54"/>
      <c r="J11" s="63"/>
      <c r="K11" s="63"/>
      <c r="L11" s="63"/>
      <c r="M11" s="63"/>
      <c r="N11" s="63"/>
      <c r="O11" s="63"/>
      <c r="P11" s="63"/>
      <c r="Q11" s="63"/>
      <c r="R11" s="63"/>
      <c r="S11" s="63"/>
    </row>
    <row r="12" spans="1:30" ht="10" x14ac:dyDescent="0.2">
      <c r="C12" s="54" t="s">
        <v>177</v>
      </c>
      <c r="D12" s="147" t="s">
        <v>90</v>
      </c>
      <c r="E12" s="21" t="str">
        <f>$E$8</f>
        <v>$millions</v>
      </c>
      <c r="F12" s="68">
        <v>45444</v>
      </c>
      <c r="J12" s="69"/>
      <c r="K12" s="69"/>
      <c r="L12" s="69"/>
      <c r="M12" s="80">
        <v>0</v>
      </c>
      <c r="N12" s="63"/>
      <c r="O12" s="78"/>
      <c r="P12" s="78"/>
      <c r="Q12" s="78"/>
      <c r="R12" s="78"/>
      <c r="S12" s="78"/>
    </row>
    <row r="13" spans="1:30" ht="10.5" x14ac:dyDescent="0.25">
      <c r="C13" s="54" t="str">
        <f>C12</f>
        <v>ICT enablement for CER integration opex</v>
      </c>
      <c r="D13" s="21" t="s">
        <v>70</v>
      </c>
      <c r="E13" s="21" t="str">
        <f>$E$8</f>
        <v>$millions</v>
      </c>
      <c r="F13" s="70">
        <f>$F$8</f>
        <v>45444</v>
      </c>
      <c r="J13" s="71"/>
      <c r="K13" s="71"/>
      <c r="L13" s="71"/>
      <c r="M13" s="78">
        <f>M12*IF($F12="nominal",LOOKUP($F13,'Lookup|Tables'!Nominal_to_Real,'Calc|CPI Indexes'!N$31:N$42),INDEX('Calc|CPI Indexes'!$C$14:$T$27,MATCH($F12,'Calc|CPI Indexes'!$C$14:$C$27,0),MATCH($F13,'Calc|CPI Indexes'!$C$14:$T$14,0)))</f>
        <v>0</v>
      </c>
      <c r="N13" s="63"/>
      <c r="O13" s="78"/>
      <c r="P13" s="79"/>
      <c r="Q13" s="79"/>
      <c r="R13" s="79"/>
      <c r="S13" s="79"/>
    </row>
    <row r="14" spans="1:30" ht="10" x14ac:dyDescent="0.2">
      <c r="J14" s="63"/>
      <c r="K14" s="63"/>
      <c r="L14" s="63"/>
    </row>
    <row r="15" spans="1:30" s="19" customFormat="1" ht="13" x14ac:dyDescent="0.3">
      <c r="A15" s="12"/>
      <c r="B15" s="13" t="s">
        <v>91</v>
      </c>
      <c r="C15" s="12"/>
      <c r="D15" s="12"/>
      <c r="E15" s="12"/>
      <c r="F15" s="14"/>
      <c r="G15" s="14"/>
      <c r="H15" s="14"/>
      <c r="I15" s="14"/>
      <c r="J15" s="15"/>
      <c r="K15" s="16"/>
      <c r="L15" s="15"/>
      <c r="M15" s="16"/>
      <c r="N15" s="15"/>
      <c r="O15" s="15"/>
      <c r="P15" s="15"/>
      <c r="Q15" s="15"/>
      <c r="R15" s="15"/>
      <c r="S15" s="15"/>
      <c r="T15" s="15"/>
      <c r="U15" s="15"/>
      <c r="V15" s="16"/>
      <c r="W15" s="16"/>
      <c r="X15" s="17"/>
      <c r="Y15" s="17"/>
      <c r="Z15" s="17"/>
      <c r="AA15" s="17"/>
      <c r="AB15" s="17"/>
      <c r="AC15" s="18"/>
      <c r="AD15" s="18"/>
    </row>
    <row r="16" spans="1:30" ht="10" x14ac:dyDescent="0.2">
      <c r="C16" s="54"/>
      <c r="J16" s="63"/>
      <c r="K16" s="63"/>
      <c r="L16" s="63"/>
    </row>
    <row r="17" spans="1:30" ht="10.5" x14ac:dyDescent="0.25">
      <c r="C17" s="29" t="s">
        <v>92</v>
      </c>
      <c r="D17" s="23" t="s">
        <v>45</v>
      </c>
      <c r="E17" s="23" t="s">
        <v>72</v>
      </c>
      <c r="F17" s="23" t="s">
        <v>78</v>
      </c>
      <c r="J17" s="61" t="str">
        <f>IF(YEAR(J$4)&gt;='Input|General'!$G$13,IF(YEAR(J$4)&lt;='Input|General'!$G$14,J$4,""),"")</f>
        <v/>
      </c>
      <c r="K17" s="61" t="str">
        <f>IF(YEAR(K$4)&gt;='Input|General'!$G$13,IF(YEAR(K$4)&lt;='Input|General'!$G$14,K$4,""),"")</f>
        <v/>
      </c>
      <c r="L17" s="61" t="str">
        <f>IF(YEAR(L$4)&gt;='Input|General'!$G$13,IF(YEAR(L$4)&lt;='Input|General'!$G$14,L$4,""),"")</f>
        <v/>
      </c>
      <c r="M17" s="61" t="str">
        <f>IF(YEAR(M$4)&gt;='Input|General'!$G$13,IF(YEAR(M$4)&lt;='Input|General'!$G$14,M$4,""),"")</f>
        <v/>
      </c>
      <c r="N17" s="61" t="str">
        <f>IF(YEAR(N$4)&gt;='Input|General'!$G$13,IF(YEAR(N$4)&lt;='Input|General'!$G$14,N$4,""),"")</f>
        <v/>
      </c>
      <c r="O17" s="154">
        <f>IF(YEAR(O$4)&gt;=FPFirstYear,IF(YEAR(O$4)&lt;=FPLastYear,O$4,""),"")</f>
        <v>45809</v>
      </c>
      <c r="P17" s="154">
        <f>IF(YEAR(P$4)&gt;=FPFirstYear,IF(YEAR(P$4)&lt;=FPLastYear,P$4,""),"")</f>
        <v>46174</v>
      </c>
      <c r="Q17" s="154">
        <f>IF(YEAR(Q$4)&gt;=FPFirstYear,IF(YEAR(Q$4)&lt;=FPLastYear,Q$4,""),"")</f>
        <v>46539</v>
      </c>
      <c r="R17" s="154">
        <f>IF(YEAR(R$4)&gt;=FPFirstYear,IF(YEAR(R$4)&lt;=FPLastYear,R$4,""),"")</f>
        <v>46905</v>
      </c>
      <c r="S17" s="154">
        <f>IF(YEAR(S$4)&gt;=FPFirstYear,IF(YEAR(S$4)&lt;=FPLastYear,S$4,""),"")</f>
        <v>47270</v>
      </c>
    </row>
    <row r="18" spans="1:30" ht="10.5" x14ac:dyDescent="0.25">
      <c r="C18" s="29"/>
      <c r="J18" s="24"/>
      <c r="K18" s="24"/>
      <c r="L18" s="24"/>
      <c r="M18" s="24"/>
      <c r="N18" s="24"/>
      <c r="O18" s="24"/>
      <c r="P18" s="24"/>
      <c r="Q18" s="24"/>
      <c r="R18" s="24"/>
      <c r="S18" s="24"/>
    </row>
    <row r="19" spans="1:30" ht="10" x14ac:dyDescent="0.2">
      <c r="C19" s="54" t="s">
        <v>177</v>
      </c>
      <c r="D19" s="147" t="s">
        <v>90</v>
      </c>
      <c r="E19" s="21" t="str">
        <f>$E$8</f>
        <v>$millions</v>
      </c>
      <c r="F19" s="68">
        <v>45444</v>
      </c>
      <c r="J19" s="73"/>
      <c r="K19" s="73"/>
      <c r="L19" s="73"/>
      <c r="M19" s="73"/>
      <c r="N19" s="73"/>
      <c r="O19" s="80">
        <f>INDEX($M$50:$S$51,MATCH($F19,$F$50:$F$51,0),MATCH(O$17,$M$49:$S$49,0))</f>
        <v>0.38884752418715307</v>
      </c>
      <c r="P19" s="80">
        <f t="shared" ref="P19:S19" si="1">INDEX($M$50:$S$51,MATCH($F19,$F$50:$F$51,0),MATCH(P$17,$M$49:$S$49,0))</f>
        <v>1.0670239689135608</v>
      </c>
      <c r="Q19" s="80">
        <f t="shared" si="1"/>
        <v>1.6206373931800162</v>
      </c>
      <c r="R19" s="80">
        <f t="shared" si="1"/>
        <v>1.6250311505154642</v>
      </c>
      <c r="S19" s="80">
        <f t="shared" si="1"/>
        <v>1.6843468745440131</v>
      </c>
    </row>
    <row r="20" spans="1:30" ht="10" x14ac:dyDescent="0.2">
      <c r="C20" s="54" t="str">
        <f>C19</f>
        <v>ICT enablement for CER integration opex</v>
      </c>
      <c r="D20" s="21" t="s">
        <v>70</v>
      </c>
      <c r="E20" s="21" t="str">
        <f>$E$8</f>
        <v>$millions</v>
      </c>
      <c r="F20" s="70">
        <f t="shared" ref="F20" si="2">$F$8</f>
        <v>45444</v>
      </c>
      <c r="J20" s="73"/>
      <c r="K20" s="73"/>
      <c r="L20" s="73"/>
      <c r="M20" s="73"/>
      <c r="N20" s="73"/>
      <c r="O20" s="78">
        <f>O19*IF($F19="nominal",LOOKUP($F20,'Lookup|Tables'!Nominal_to_Real,'Calc|CPI Indexes'!P$31:P$42),INDEX('Calc|CPI Indexes'!$C$14:$T$27,MATCH($F19,'Calc|CPI Indexes'!$C$14:$C$27,0),MATCH($F20,'Calc|CPI Indexes'!$C$14:$T$14,0)))</f>
        <v>0.38884752418715307</v>
      </c>
      <c r="P20" s="78">
        <f>P19*IF($F19="nominal",LOOKUP($F20,'Lookup|Tables'!Nominal_to_Real,'Calc|CPI Indexes'!Q$31:Q$42),INDEX('Calc|CPI Indexes'!$C$14:$T$27,MATCH($F19,'Calc|CPI Indexes'!$C$14:$C$27,0),MATCH($F20,'Calc|CPI Indexes'!$C$14:$T$14,0)))</f>
        <v>1.0670239689135608</v>
      </c>
      <c r="Q20" s="78">
        <f>Q19*IF($F19="nominal",LOOKUP($F20,'Lookup|Tables'!Nominal_to_Real,'Calc|CPI Indexes'!R$31:R$42),INDEX('Calc|CPI Indexes'!$C$14:$T$27,MATCH($F19,'Calc|CPI Indexes'!$C$14:$C$27,0),MATCH($F20,'Calc|CPI Indexes'!$C$14:$T$14,0)))</f>
        <v>1.6206373931800162</v>
      </c>
      <c r="R20" s="78">
        <f>R19*IF($F19="nominal",LOOKUP($F20,'Lookup|Tables'!Nominal_to_Real,'Calc|CPI Indexes'!S$31:S$42),INDEX('Calc|CPI Indexes'!$C$14:$T$27,MATCH($F19,'Calc|CPI Indexes'!$C$14:$C$27,0),MATCH($F20,'Calc|CPI Indexes'!$C$14:$T$14,0)))</f>
        <v>1.6250311505154642</v>
      </c>
      <c r="S20" s="78">
        <f>S19*IF($F19="nominal",LOOKUP($F20,'Lookup|Tables'!Nominal_to_Real,'Calc|CPI Indexes'!T$31:T$42),INDEX('Calc|CPI Indexes'!$C$14:$T$27,MATCH($F19,'Calc|CPI Indexes'!$C$14:$C$27,0),MATCH($F20,'Calc|CPI Indexes'!$C$14:$T$14,0)))</f>
        <v>1.6843468745440131</v>
      </c>
    </row>
    <row r="21" spans="1:30" ht="10" x14ac:dyDescent="0.2">
      <c r="C21" s="72"/>
      <c r="F21" s="70"/>
      <c r="J21" s="73"/>
      <c r="K21" s="73"/>
      <c r="L21" s="73"/>
      <c r="M21" s="73"/>
      <c r="N21" s="73"/>
      <c r="O21" s="73"/>
      <c r="P21" s="73"/>
      <c r="Q21" s="73"/>
      <c r="R21" s="73"/>
      <c r="S21" s="73"/>
    </row>
    <row r="22" spans="1:30" s="19" customFormat="1" ht="13" x14ac:dyDescent="0.3">
      <c r="A22" s="12"/>
      <c r="B22" s="13" t="s">
        <v>93</v>
      </c>
      <c r="C22" s="12"/>
      <c r="D22" s="12"/>
      <c r="E22" s="12"/>
      <c r="F22" s="14"/>
      <c r="G22" s="14"/>
      <c r="H22" s="14"/>
      <c r="I22" s="14"/>
      <c r="J22" s="15"/>
      <c r="K22" s="16"/>
      <c r="L22" s="15"/>
      <c r="M22" s="16"/>
      <c r="N22" s="15"/>
      <c r="O22" s="15"/>
      <c r="P22" s="15"/>
      <c r="Q22" s="15"/>
      <c r="R22" s="15"/>
      <c r="S22" s="15"/>
      <c r="T22" s="15"/>
      <c r="U22" s="15"/>
      <c r="V22" s="16"/>
      <c r="W22" s="16"/>
      <c r="X22" s="17"/>
      <c r="Y22" s="17"/>
      <c r="Z22" s="17"/>
      <c r="AA22" s="17"/>
      <c r="AB22" s="17"/>
      <c r="AC22" s="18"/>
      <c r="AD22" s="18"/>
    </row>
    <row r="23" spans="1:30" ht="10" x14ac:dyDescent="0.2">
      <c r="C23" s="54"/>
      <c r="J23" s="63"/>
      <c r="K23" s="63"/>
      <c r="L23" s="63"/>
    </row>
    <row r="24" spans="1:30" ht="10.5" x14ac:dyDescent="0.25">
      <c r="C24" s="29" t="s">
        <v>94</v>
      </c>
      <c r="D24" s="23" t="s">
        <v>45</v>
      </c>
      <c r="E24" s="23" t="s">
        <v>72</v>
      </c>
      <c r="F24" s="23" t="s">
        <v>78</v>
      </c>
      <c r="J24" s="61" t="str">
        <f>IF(YEAR(J$4)&gt;='Input|General'!$G$13,IF(YEAR(J$4)&lt;='Input|General'!$G$14,J$4,""),"")</f>
        <v/>
      </c>
      <c r="K24" s="61" t="str">
        <f>IF(YEAR(K$4)&gt;='Input|General'!$G$13,IF(YEAR(K$4)&lt;='Input|General'!$G$14,K$4,""),"")</f>
        <v/>
      </c>
      <c r="L24" s="61" t="str">
        <f>IF(YEAR(L$4)&gt;='Input|General'!$G$13,IF(YEAR(L$4)&lt;='Input|General'!$G$14,L$4,""),"")</f>
        <v/>
      </c>
      <c r="M24" s="61" t="str">
        <f>IF(YEAR(M$4)&gt;='Input|General'!$G$13,IF(YEAR(M$4)&lt;='Input|General'!$G$14,M$4,""),"")</f>
        <v/>
      </c>
      <c r="N24" s="61" t="str">
        <f>IF(YEAR(N$4)&gt;='Input|General'!$G$13,IF(YEAR(N$4)&lt;='Input|General'!$G$14,N$4,""),"")</f>
        <v/>
      </c>
      <c r="O24" s="154">
        <f>IF(YEAR(O$4)&gt;=FPFirstYear,IF(YEAR(O$4)&lt;=FPLastYear,O$4,""),"")</f>
        <v>45809</v>
      </c>
      <c r="P24" s="154">
        <f>IF(YEAR(P$4)&gt;=FPFirstYear,IF(YEAR(P$4)&lt;=FPLastYear,P$4,""),"")</f>
        <v>46174</v>
      </c>
      <c r="Q24" s="154">
        <f>IF(YEAR(Q$4)&gt;=FPFirstYear,IF(YEAR(Q$4)&lt;=FPLastYear,Q$4,""),"")</f>
        <v>46539</v>
      </c>
      <c r="R24" s="154">
        <f>IF(YEAR(R$4)&gt;=FPFirstYear,IF(YEAR(R$4)&lt;=FPLastYear,R$4,""),"")</f>
        <v>46905</v>
      </c>
      <c r="S24" s="154">
        <f>IF(YEAR(S$4)&gt;=FPFirstYear,IF(YEAR(S$4)&lt;=FPLastYear,S$4,""),"")</f>
        <v>47270</v>
      </c>
    </row>
    <row r="25" spans="1:30" ht="10.5" x14ac:dyDescent="0.25">
      <c r="C25" s="29"/>
      <c r="D25" s="23"/>
      <c r="E25" s="23"/>
      <c r="F25" s="23"/>
      <c r="J25" s="61"/>
      <c r="K25" s="61"/>
      <c r="L25" s="61"/>
      <c r="M25" s="61"/>
      <c r="N25" s="61"/>
      <c r="O25" s="61"/>
      <c r="P25" s="61"/>
      <c r="Q25" s="61"/>
      <c r="R25" s="61"/>
      <c r="S25" s="61"/>
    </row>
    <row r="26" spans="1:30" ht="10" x14ac:dyDescent="0.2">
      <c r="C26" s="54" t="s">
        <v>178</v>
      </c>
      <c r="D26" s="21" t="s">
        <v>70</v>
      </c>
      <c r="E26" s="21" t="str">
        <f>$E$8</f>
        <v>$millions</v>
      </c>
      <c r="F26" s="70">
        <f>F20</f>
        <v>45444</v>
      </c>
      <c r="J26" s="73"/>
      <c r="K26" s="73"/>
      <c r="L26" s="73"/>
      <c r="M26" s="73"/>
      <c r="N26" s="73"/>
      <c r="O26" s="78">
        <f>O20</f>
        <v>0.38884752418715307</v>
      </c>
      <c r="P26" s="78">
        <f>P20</f>
        <v>1.0670239689135608</v>
      </c>
      <c r="Q26" s="78">
        <f>Q20</f>
        <v>1.6206373931800162</v>
      </c>
      <c r="R26" s="78">
        <f>R20</f>
        <v>1.6250311505154642</v>
      </c>
      <c r="S26" s="78">
        <f>S20</f>
        <v>1.6843468745440131</v>
      </c>
    </row>
    <row r="27" spans="1:30" ht="10.5" x14ac:dyDescent="0.25">
      <c r="C27" s="54" t="s">
        <v>179</v>
      </c>
      <c r="D27" s="21" t="s">
        <v>70</v>
      </c>
      <c r="E27" s="21" t="str">
        <f>$E$8</f>
        <v>$millions</v>
      </c>
      <c r="F27" s="70">
        <f>F13</f>
        <v>45444</v>
      </c>
      <c r="J27" s="24"/>
      <c r="K27" s="24"/>
      <c r="L27" s="24"/>
      <c r="M27" s="24"/>
      <c r="N27" s="24"/>
      <c r="O27" s="78">
        <f>$M$13</f>
        <v>0</v>
      </c>
      <c r="P27" s="78">
        <f t="shared" ref="P27:S27" si="3">$M$13</f>
        <v>0</v>
      </c>
      <c r="Q27" s="78">
        <f t="shared" si="3"/>
        <v>0</v>
      </c>
      <c r="R27" s="78">
        <f t="shared" si="3"/>
        <v>0</v>
      </c>
      <c r="S27" s="78">
        <f t="shared" si="3"/>
        <v>0</v>
      </c>
    </row>
    <row r="28" spans="1:30" ht="3" customHeight="1" x14ac:dyDescent="0.2">
      <c r="F28" s="105"/>
      <c r="O28" s="100"/>
      <c r="P28" s="100"/>
      <c r="Q28" s="100"/>
      <c r="R28" s="100"/>
      <c r="S28" s="100"/>
    </row>
    <row r="29" spans="1:30" ht="10.5" x14ac:dyDescent="0.25">
      <c r="C29" s="74" t="s">
        <v>180</v>
      </c>
      <c r="D29" s="75" t="s">
        <v>70</v>
      </c>
      <c r="E29" s="75" t="str">
        <f>$E$8</f>
        <v>$millions</v>
      </c>
      <c r="F29" s="76">
        <f>F27</f>
        <v>45444</v>
      </c>
      <c r="G29" s="23"/>
      <c r="H29" s="23"/>
      <c r="I29" s="23"/>
      <c r="J29" s="77"/>
      <c r="K29" s="77"/>
      <c r="L29" s="77"/>
      <c r="M29" s="77"/>
      <c r="N29" s="77"/>
      <c r="O29" s="79">
        <f>O26-O27</f>
        <v>0.38884752418715307</v>
      </c>
      <c r="P29" s="79">
        <f>P26-P27</f>
        <v>1.0670239689135608</v>
      </c>
      <c r="Q29" s="79">
        <f>Q26-Q27</f>
        <v>1.6206373931800162</v>
      </c>
      <c r="R29" s="79">
        <f>R26-R27</f>
        <v>1.6250311505154642</v>
      </c>
      <c r="S29" s="79">
        <f>S26-S27</f>
        <v>1.6843468745440131</v>
      </c>
    </row>
    <row r="30" spans="1:30" ht="10.5" x14ac:dyDescent="0.25">
      <c r="C30" s="106"/>
      <c r="D30" s="23"/>
      <c r="E30" s="23"/>
      <c r="F30" s="76"/>
      <c r="G30" s="23"/>
      <c r="H30" s="23"/>
      <c r="I30" s="23"/>
      <c r="J30" s="77"/>
      <c r="K30" s="77"/>
      <c r="L30" s="77"/>
      <c r="M30" s="77"/>
      <c r="N30" s="77"/>
      <c r="O30" s="79"/>
      <c r="P30" s="79"/>
      <c r="Q30" s="79"/>
      <c r="R30" s="79"/>
      <c r="S30" s="79"/>
    </row>
    <row r="31" spans="1:30" s="19" customFormat="1" ht="13" x14ac:dyDescent="0.3">
      <c r="A31" s="12"/>
      <c r="B31" s="13" t="s">
        <v>98</v>
      </c>
      <c r="C31" s="12"/>
      <c r="D31" s="12"/>
      <c r="E31" s="12"/>
      <c r="F31" s="14"/>
      <c r="G31" s="14"/>
      <c r="H31" s="14"/>
      <c r="I31" s="14"/>
      <c r="J31" s="15"/>
      <c r="K31" s="16"/>
      <c r="L31" s="15"/>
      <c r="M31" s="16"/>
      <c r="N31" s="15"/>
      <c r="O31" s="15"/>
      <c r="P31" s="15"/>
      <c r="Q31" s="15"/>
      <c r="R31" s="15"/>
      <c r="S31" s="15"/>
      <c r="T31" s="15"/>
      <c r="U31" s="15"/>
      <c r="V31" s="16"/>
      <c r="W31" s="16"/>
      <c r="X31" s="17"/>
      <c r="Y31" s="17"/>
      <c r="Z31" s="17"/>
      <c r="AA31" s="17"/>
      <c r="AB31" s="17"/>
      <c r="AC31" s="18"/>
      <c r="AD31" s="18"/>
    </row>
    <row r="32" spans="1:30" ht="10" x14ac:dyDescent="0.2">
      <c r="C32" s="54"/>
      <c r="D32" s="63"/>
      <c r="E32" s="63"/>
      <c r="F32" s="108"/>
      <c r="G32" s="63"/>
      <c r="H32" s="63"/>
      <c r="I32" s="63"/>
      <c r="J32" s="73"/>
      <c r="K32" s="73"/>
      <c r="L32" s="73"/>
      <c r="M32" s="73"/>
      <c r="N32" s="73"/>
      <c r="O32" s="78"/>
      <c r="P32" s="78"/>
      <c r="Q32" s="78"/>
      <c r="R32" s="78"/>
      <c r="S32" s="78"/>
    </row>
    <row r="33" spans="3:19" ht="10.5" x14ac:dyDescent="0.25">
      <c r="C33" s="29" t="s">
        <v>181</v>
      </c>
      <c r="D33" s="23" t="s">
        <v>45</v>
      </c>
      <c r="E33" s="23" t="s">
        <v>72</v>
      </c>
      <c r="F33" s="23" t="s">
        <v>78</v>
      </c>
      <c r="H33" s="63"/>
      <c r="I33" s="119"/>
      <c r="J33" s="73"/>
      <c r="L33" s="73"/>
      <c r="M33" s="73"/>
      <c r="N33" s="73"/>
      <c r="O33" s="154">
        <f>IF(YEAR(O$4)&gt;=FPFirstYear,IF(YEAR(O$4)&lt;=FPLastYear,O$4,""),"")</f>
        <v>45809</v>
      </c>
      <c r="P33" s="154">
        <f>IF(YEAR(P$4)&gt;=FPFirstYear,IF(YEAR(P$4)&lt;=FPLastYear,P$4,""),"")</f>
        <v>46174</v>
      </c>
      <c r="Q33" s="154">
        <f>IF(YEAR(Q$4)&gt;=FPFirstYear,IF(YEAR(Q$4)&lt;=FPLastYear,Q$4,""),"")</f>
        <v>46539</v>
      </c>
      <c r="R33" s="154">
        <f>IF(YEAR(R$4)&gt;=FPFirstYear,IF(YEAR(R$4)&lt;=FPLastYear,R$4,""),"")</f>
        <v>46905</v>
      </c>
      <c r="S33" s="154">
        <f>IF(YEAR(S$4)&gt;=FPFirstYear,IF(YEAR(S$4)&lt;=FPLastYear,S$4,""),"")</f>
        <v>47270</v>
      </c>
    </row>
    <row r="34" spans="3:19" ht="10" x14ac:dyDescent="0.2">
      <c r="C34" s="54" t="s">
        <v>182</v>
      </c>
      <c r="D34" s="147" t="s">
        <v>90</v>
      </c>
      <c r="E34" s="21" t="s">
        <v>101</v>
      </c>
      <c r="F34" s="68">
        <v>44713</v>
      </c>
      <c r="H34" s="63"/>
      <c r="I34" s="20"/>
      <c r="J34" s="73"/>
      <c r="L34" s="73"/>
      <c r="M34" s="73"/>
      <c r="N34" s="73"/>
      <c r="O34" s="111">
        <v>0</v>
      </c>
      <c r="P34" s="111">
        <v>0</v>
      </c>
      <c r="Q34" s="111">
        <v>0</v>
      </c>
      <c r="R34" s="111">
        <v>0</v>
      </c>
      <c r="S34" s="111">
        <v>50000</v>
      </c>
    </row>
    <row r="35" spans="3:19" ht="10" x14ac:dyDescent="0.2">
      <c r="C35" s="54" t="s">
        <v>183</v>
      </c>
      <c r="D35" s="147" t="s">
        <v>90</v>
      </c>
      <c r="E35" s="21" t="s">
        <v>101</v>
      </c>
      <c r="F35" s="68">
        <v>44713</v>
      </c>
      <c r="H35" s="63"/>
      <c r="I35" s="20"/>
      <c r="J35" s="73"/>
      <c r="L35" s="73"/>
      <c r="M35" s="73"/>
      <c r="N35" s="73"/>
      <c r="O35" s="111">
        <v>0</v>
      </c>
      <c r="P35" s="111">
        <v>0</v>
      </c>
      <c r="Q35" s="111">
        <v>0</v>
      </c>
      <c r="R35" s="111">
        <v>0</v>
      </c>
      <c r="S35" s="111">
        <v>0</v>
      </c>
    </row>
    <row r="36" spans="3:19" ht="10" x14ac:dyDescent="0.2">
      <c r="C36" s="54" t="s">
        <v>184</v>
      </c>
      <c r="D36" s="147" t="s">
        <v>90</v>
      </c>
      <c r="E36" s="21" t="s">
        <v>101</v>
      </c>
      <c r="F36" s="68">
        <v>44713</v>
      </c>
      <c r="H36" s="63"/>
      <c r="I36" s="20"/>
      <c r="J36" s="73"/>
      <c r="L36" s="73"/>
      <c r="M36" s="73"/>
      <c r="N36" s="73"/>
      <c r="O36" s="111">
        <v>0</v>
      </c>
      <c r="P36" s="111">
        <v>173400</v>
      </c>
      <c r="Q36" s="111">
        <v>173400</v>
      </c>
      <c r="R36" s="111">
        <v>173400</v>
      </c>
      <c r="S36" s="111">
        <v>173400</v>
      </c>
    </row>
    <row r="37" spans="3:19" ht="10" x14ac:dyDescent="0.2">
      <c r="C37" s="54" t="s">
        <v>185</v>
      </c>
      <c r="D37" s="147" t="s">
        <v>90</v>
      </c>
      <c r="E37" s="21" t="s">
        <v>101</v>
      </c>
      <c r="F37" s="68">
        <v>44713</v>
      </c>
      <c r="H37" s="63"/>
      <c r="I37" s="20"/>
      <c r="J37" s="73"/>
      <c r="L37" s="73"/>
      <c r="M37" s="73"/>
      <c r="N37" s="73"/>
      <c r="O37" s="111">
        <v>0</v>
      </c>
      <c r="P37" s="111">
        <v>0</v>
      </c>
      <c r="Q37" s="111">
        <v>0</v>
      </c>
      <c r="R37" s="111">
        <v>0</v>
      </c>
      <c r="S37" s="111">
        <v>0</v>
      </c>
    </row>
    <row r="38" spans="3:19" ht="10" x14ac:dyDescent="0.2">
      <c r="C38" s="54" t="s">
        <v>186</v>
      </c>
      <c r="D38" s="147" t="s">
        <v>90</v>
      </c>
      <c r="E38" s="21" t="s">
        <v>101</v>
      </c>
      <c r="F38" s="68">
        <v>44713</v>
      </c>
      <c r="H38" s="63"/>
      <c r="I38" s="20"/>
      <c r="J38" s="73"/>
      <c r="L38" s="73"/>
      <c r="M38" s="73"/>
      <c r="N38" s="73"/>
      <c r="O38" s="111">
        <v>0</v>
      </c>
      <c r="P38" s="111">
        <v>400000</v>
      </c>
      <c r="Q38" s="111">
        <v>800000</v>
      </c>
      <c r="R38" s="111">
        <v>800000</v>
      </c>
      <c r="S38" s="111">
        <v>800000</v>
      </c>
    </row>
    <row r="39" spans="3:19" ht="10" x14ac:dyDescent="0.2">
      <c r="C39" s="54" t="s">
        <v>187</v>
      </c>
      <c r="D39" s="147" t="s">
        <v>90</v>
      </c>
      <c r="E39" s="21" t="s">
        <v>101</v>
      </c>
      <c r="F39" s="68">
        <v>44713</v>
      </c>
      <c r="H39" s="63"/>
      <c r="I39" s="20"/>
      <c r="J39" s="73"/>
      <c r="L39" s="73"/>
      <c r="M39" s="73"/>
      <c r="N39" s="73"/>
      <c r="O39" s="111">
        <v>0</v>
      </c>
      <c r="P39" s="111">
        <v>0</v>
      </c>
      <c r="Q39" s="111">
        <v>0</v>
      </c>
      <c r="R39" s="111">
        <v>0</v>
      </c>
      <c r="S39" s="111">
        <v>0</v>
      </c>
    </row>
    <row r="40" spans="3:19" ht="10" x14ac:dyDescent="0.2">
      <c r="C40" s="54" t="s">
        <v>188</v>
      </c>
      <c r="D40" s="147" t="s">
        <v>90</v>
      </c>
      <c r="E40" s="21" t="s">
        <v>101</v>
      </c>
      <c r="F40" s="68">
        <v>44713</v>
      </c>
      <c r="H40" s="63"/>
      <c r="I40" s="20"/>
      <c r="J40" s="73"/>
      <c r="L40" s="73"/>
      <c r="M40" s="73"/>
      <c r="N40" s="73"/>
      <c r="O40" s="111">
        <v>4000</v>
      </c>
      <c r="P40" s="111">
        <v>8000</v>
      </c>
      <c r="Q40" s="111">
        <v>12000</v>
      </c>
      <c r="R40" s="111">
        <v>16000</v>
      </c>
      <c r="S40" s="111">
        <v>20000</v>
      </c>
    </row>
    <row r="41" spans="3:19" ht="10" x14ac:dyDescent="0.2">
      <c r="C41" s="54" t="s">
        <v>189</v>
      </c>
      <c r="D41" s="147" t="s">
        <v>90</v>
      </c>
      <c r="E41" s="21" t="s">
        <v>101</v>
      </c>
      <c r="F41" s="68">
        <v>44713</v>
      </c>
      <c r="H41" s="63"/>
      <c r="I41" s="20"/>
      <c r="J41" s="73"/>
      <c r="L41" s="73"/>
      <c r="M41" s="73"/>
      <c r="N41" s="73"/>
      <c r="O41" s="111">
        <v>0</v>
      </c>
      <c r="P41" s="111">
        <v>390000</v>
      </c>
      <c r="Q41" s="111">
        <v>140000</v>
      </c>
      <c r="R41" s="111">
        <v>140000</v>
      </c>
      <c r="S41" s="111">
        <v>140000</v>
      </c>
    </row>
    <row r="42" spans="3:19" ht="10" x14ac:dyDescent="0.2">
      <c r="C42" s="54" t="s">
        <v>190</v>
      </c>
      <c r="D42" s="147" t="s">
        <v>90</v>
      </c>
      <c r="E42" s="21" t="s">
        <v>101</v>
      </c>
      <c r="F42" s="68">
        <v>44713</v>
      </c>
      <c r="H42" s="63"/>
      <c r="I42" s="20"/>
      <c r="J42" s="73"/>
      <c r="L42" s="73"/>
      <c r="M42" s="73"/>
      <c r="N42" s="73"/>
      <c r="O42" s="111">
        <v>0</v>
      </c>
      <c r="P42" s="111">
        <v>0</v>
      </c>
      <c r="Q42" s="111">
        <v>0</v>
      </c>
      <c r="R42" s="111">
        <v>0</v>
      </c>
      <c r="S42" s="111">
        <v>0</v>
      </c>
    </row>
    <row r="43" spans="3:19" ht="10" x14ac:dyDescent="0.2">
      <c r="C43" s="54" t="s">
        <v>191</v>
      </c>
      <c r="D43" s="147" t="s">
        <v>90</v>
      </c>
      <c r="E43" s="21" t="s">
        <v>101</v>
      </c>
      <c r="F43" s="68">
        <v>44713</v>
      </c>
      <c r="H43" s="63"/>
      <c r="I43" s="20"/>
      <c r="J43" s="73"/>
      <c r="L43" s="73"/>
      <c r="M43" s="73"/>
      <c r="N43" s="73"/>
      <c r="O43" s="111">
        <v>350000</v>
      </c>
      <c r="P43" s="111">
        <v>0</v>
      </c>
      <c r="Q43" s="111">
        <v>350000</v>
      </c>
      <c r="R43" s="111">
        <v>350000</v>
      </c>
      <c r="S43" s="111">
        <v>350000</v>
      </c>
    </row>
    <row r="44" spans="3:19" ht="10" x14ac:dyDescent="0.2">
      <c r="C44" s="54" t="s">
        <v>192</v>
      </c>
      <c r="D44" s="147" t="s">
        <v>90</v>
      </c>
      <c r="E44" s="21" t="s">
        <v>101</v>
      </c>
      <c r="F44" s="68">
        <v>44713</v>
      </c>
      <c r="H44" s="63"/>
      <c r="I44" s="20"/>
      <c r="J44" s="73"/>
      <c r="L44" s="73"/>
      <c r="M44" s="73"/>
      <c r="N44" s="73"/>
      <c r="O44" s="111">
        <v>0</v>
      </c>
      <c r="P44" s="111">
        <v>0</v>
      </c>
      <c r="Q44" s="111">
        <v>0</v>
      </c>
      <c r="R44" s="111">
        <v>0</v>
      </c>
      <c r="S44" s="111">
        <v>0</v>
      </c>
    </row>
    <row r="45" spans="3:19" ht="10" x14ac:dyDescent="0.2">
      <c r="C45" s="54" t="s">
        <v>193</v>
      </c>
      <c r="D45" s="147" t="s">
        <v>90</v>
      </c>
      <c r="E45" s="21" t="s">
        <v>101</v>
      </c>
      <c r="F45" s="68">
        <v>44713</v>
      </c>
      <c r="H45" s="63"/>
      <c r="I45" s="20"/>
      <c r="J45" s="73"/>
      <c r="L45" s="73"/>
      <c r="M45" s="73"/>
      <c r="N45" s="73"/>
      <c r="O45" s="111">
        <v>0</v>
      </c>
      <c r="P45" s="111">
        <v>0</v>
      </c>
      <c r="Q45" s="111">
        <v>0</v>
      </c>
      <c r="R45" s="111">
        <v>0</v>
      </c>
      <c r="S45" s="111">
        <v>0</v>
      </c>
    </row>
    <row r="46" spans="3:19" ht="10" x14ac:dyDescent="0.2">
      <c r="C46" s="54" t="s">
        <v>194</v>
      </c>
      <c r="D46" s="147" t="s">
        <v>90</v>
      </c>
      <c r="E46" s="21" t="s">
        <v>101</v>
      </c>
      <c r="F46" s="68">
        <v>44713</v>
      </c>
      <c r="H46" s="63"/>
      <c r="I46" s="20"/>
      <c r="J46" s="73"/>
      <c r="L46" s="73"/>
      <c r="M46" s="73"/>
      <c r="N46" s="73"/>
      <c r="O46" s="115">
        <v>0</v>
      </c>
      <c r="P46" s="115">
        <v>0</v>
      </c>
      <c r="Q46" s="115">
        <v>0</v>
      </c>
      <c r="R46" s="115">
        <v>0</v>
      </c>
      <c r="S46" s="115">
        <v>0</v>
      </c>
    </row>
    <row r="47" spans="3:19" ht="10.5" x14ac:dyDescent="0.25">
      <c r="C47" s="106" t="s">
        <v>161</v>
      </c>
      <c r="D47" s="21" t="s">
        <v>70</v>
      </c>
      <c r="E47" s="70" t="str">
        <f>E46</f>
        <v>$dollars</v>
      </c>
      <c r="F47" s="108">
        <f>F46</f>
        <v>44713</v>
      </c>
      <c r="H47" s="63"/>
      <c r="I47" s="63"/>
      <c r="J47" s="73"/>
      <c r="L47" s="73"/>
      <c r="M47" s="73"/>
      <c r="N47" s="73"/>
      <c r="O47" s="113">
        <f>SUM(O34:O46)</f>
        <v>354000</v>
      </c>
      <c r="P47" s="113">
        <f t="shared" ref="P47:S47" si="4">SUM(P34:P46)</f>
        <v>971400</v>
      </c>
      <c r="Q47" s="113">
        <f t="shared" si="4"/>
        <v>1475400</v>
      </c>
      <c r="R47" s="113">
        <f t="shared" si="4"/>
        <v>1479400</v>
      </c>
      <c r="S47" s="113">
        <f t="shared" si="4"/>
        <v>1533400</v>
      </c>
    </row>
    <row r="48" spans="3:19" ht="10" x14ac:dyDescent="0.2">
      <c r="C48" s="54"/>
      <c r="D48" s="63"/>
      <c r="E48" s="63"/>
      <c r="F48" s="108"/>
      <c r="G48" s="63"/>
      <c r="H48" s="63"/>
      <c r="I48" s="63"/>
      <c r="J48" s="73"/>
      <c r="K48" s="73"/>
      <c r="L48" s="73"/>
      <c r="M48" s="73"/>
      <c r="N48" s="73"/>
      <c r="O48" s="78"/>
      <c r="P48" s="78"/>
      <c r="Q48" s="78"/>
      <c r="R48" s="78"/>
      <c r="S48" s="78"/>
    </row>
    <row r="49" spans="1:30" ht="10.5" x14ac:dyDescent="0.25">
      <c r="C49" s="29" t="s">
        <v>195</v>
      </c>
      <c r="D49" s="63"/>
      <c r="E49" s="63"/>
      <c r="F49" s="108"/>
      <c r="G49" s="63"/>
      <c r="H49" s="63"/>
      <c r="I49" s="63"/>
      <c r="J49" s="73"/>
      <c r="K49" s="73"/>
      <c r="L49" s="73"/>
      <c r="M49" s="112"/>
      <c r="N49" s="112"/>
      <c r="O49" s="154">
        <f>IF(YEAR(O$4)&gt;=FPFirstYear,IF(YEAR(O$4)&lt;=FPLastYear,O$4,""),"")</f>
        <v>45809</v>
      </c>
      <c r="P49" s="154">
        <f>IF(YEAR(P$4)&gt;=FPFirstYear,IF(YEAR(P$4)&lt;=FPLastYear,P$4,""),"")</f>
        <v>46174</v>
      </c>
      <c r="Q49" s="154">
        <f>IF(YEAR(Q$4)&gt;=FPFirstYear,IF(YEAR(Q$4)&lt;=FPLastYear,Q$4,""),"")</f>
        <v>46539</v>
      </c>
      <c r="R49" s="154">
        <f>IF(YEAR(R$4)&gt;=FPFirstYear,IF(YEAR(R$4)&lt;=FPLastYear,R$4,""),"")</f>
        <v>46905</v>
      </c>
      <c r="S49" s="154">
        <f>IF(YEAR(S$4)&gt;=FPFirstYear,IF(YEAR(S$4)&lt;=FPLastYear,S$4,""),"")</f>
        <v>47270</v>
      </c>
    </row>
    <row r="50" spans="1:30" ht="10" x14ac:dyDescent="0.2">
      <c r="C50" s="54" t="s">
        <v>196</v>
      </c>
      <c r="D50" s="21" t="s">
        <v>70</v>
      </c>
      <c r="E50" s="63" t="str">
        <f>$E$8</f>
        <v>$millions</v>
      </c>
      <c r="F50" s="108">
        <f>F47</f>
        <v>44713</v>
      </c>
      <c r="G50" s="63"/>
      <c r="H50" s="63"/>
      <c r="I50" s="63"/>
      <c r="J50" s="73"/>
      <c r="K50" s="73"/>
      <c r="L50" s="73"/>
      <c r="M50" s="73"/>
      <c r="N50" s="73"/>
      <c r="O50" s="78">
        <f>O47/10^6</f>
        <v>0.35399999999999998</v>
      </c>
      <c r="P50" s="78">
        <f t="shared" ref="P50:S50" si="5">P47/10^6</f>
        <v>0.97140000000000004</v>
      </c>
      <c r="Q50" s="78">
        <f t="shared" si="5"/>
        <v>1.4754</v>
      </c>
      <c r="R50" s="78">
        <f t="shared" si="5"/>
        <v>1.4794</v>
      </c>
      <c r="S50" s="78">
        <f t="shared" si="5"/>
        <v>1.5334000000000001</v>
      </c>
    </row>
    <row r="51" spans="1:30" ht="10" x14ac:dyDescent="0.2">
      <c r="C51" s="54" t="s">
        <v>196</v>
      </c>
      <c r="D51" s="21" t="s">
        <v>70</v>
      </c>
      <c r="E51" s="63" t="str">
        <f>$E$8</f>
        <v>$millions</v>
      </c>
      <c r="F51" s="108">
        <f>$F$8</f>
        <v>45444</v>
      </c>
      <c r="G51" s="63"/>
      <c r="H51" s="63"/>
      <c r="I51" s="63"/>
      <c r="J51" s="73"/>
      <c r="K51" s="73"/>
      <c r="L51" s="73"/>
      <c r="M51" s="73"/>
      <c r="N51" s="73"/>
      <c r="O51" s="78">
        <f>O50*IF($F50="nominal",LOOKUP($F51,'Lookup|Tables'!Nominal_to_Real,'Calc|CPI Indexes'!P$31:P$42),INDEX('Calc|CPI Indexes'!$C$14:$T$27,MATCH($F50,'Calc|CPI Indexes'!$C$14:$C$27,0),MATCH($F51,'Calc|CPI Indexes'!$C$14:$T$14,0)))</f>
        <v>0.38884752418715307</v>
      </c>
      <c r="P51" s="78">
        <f>P50*IF($F50="nominal",LOOKUP($F51,'Lookup|Tables'!Nominal_to_Real,'Calc|CPI Indexes'!Q$31:Q$42),INDEX('Calc|CPI Indexes'!$C$14:$T$27,MATCH($F50,'Calc|CPI Indexes'!$C$14:$C$27,0),MATCH($F51,'Calc|CPI Indexes'!$C$14:$T$14,0)))</f>
        <v>1.0670239689135608</v>
      </c>
      <c r="Q51" s="78">
        <f>Q50*IF($F50="nominal",LOOKUP($F51,'Lookup|Tables'!Nominal_to_Real,'Calc|CPI Indexes'!R$31:R$42),INDEX('Calc|CPI Indexes'!$C$14:$T$27,MATCH($F50,'Calc|CPI Indexes'!$C$14:$C$27,0),MATCH($F51,'Calc|CPI Indexes'!$C$14:$T$14,0)))</f>
        <v>1.6206373931800162</v>
      </c>
      <c r="R51" s="78">
        <f>R50*IF($F50="nominal",LOOKUP($F51,'Lookup|Tables'!Nominal_to_Real,'Calc|CPI Indexes'!S$31:S$42),INDEX('Calc|CPI Indexes'!$C$14:$T$27,MATCH($F50,'Calc|CPI Indexes'!$C$14:$C$27,0),MATCH($F51,'Calc|CPI Indexes'!$C$14:$T$14,0)))</f>
        <v>1.6250311505154642</v>
      </c>
      <c r="S51" s="78">
        <f>S50*IF($F50="nominal",LOOKUP($F51,'Lookup|Tables'!Nominal_to_Real,'Calc|CPI Indexes'!T$31:T$42),INDEX('Calc|CPI Indexes'!$C$14:$T$27,MATCH($F50,'Calc|CPI Indexes'!$C$14:$C$27,0),MATCH($F51,'Calc|CPI Indexes'!$C$14:$T$14,0)))</f>
        <v>1.6843468745440131</v>
      </c>
    </row>
    <row r="52" spans="1:30" ht="10" x14ac:dyDescent="0.2">
      <c r="C52" s="54" t="s">
        <v>197</v>
      </c>
      <c r="D52" s="63"/>
      <c r="E52" s="63" t="str">
        <f>$E$8</f>
        <v>$millions</v>
      </c>
      <c r="F52" s="108">
        <f>$F$8</f>
        <v>45444</v>
      </c>
      <c r="G52" s="63"/>
      <c r="H52" s="63"/>
      <c r="I52" s="63"/>
      <c r="J52" s="73"/>
      <c r="K52" s="73"/>
      <c r="L52" s="73"/>
      <c r="M52" s="73"/>
      <c r="N52" s="73"/>
      <c r="O52" s="73"/>
      <c r="P52" s="73"/>
      <c r="Q52" s="73"/>
      <c r="R52" s="73"/>
      <c r="S52" s="73"/>
      <c r="T52" s="73"/>
      <c r="U52" s="73"/>
    </row>
    <row r="53" spans="1:30" ht="10" x14ac:dyDescent="0.2">
      <c r="C53" s="54"/>
      <c r="D53" s="63"/>
      <c r="E53" s="63"/>
      <c r="F53" s="63"/>
      <c r="G53" s="63"/>
      <c r="H53" s="63"/>
      <c r="I53" s="63"/>
      <c r="J53" s="63"/>
      <c r="K53" s="63"/>
      <c r="L53" s="63"/>
      <c r="M53" s="63"/>
      <c r="N53" s="107"/>
      <c r="O53" s="107"/>
      <c r="P53" s="107"/>
      <c r="Q53" s="107"/>
      <c r="R53" s="107"/>
      <c r="S53" s="107"/>
    </row>
    <row r="54" spans="1:30" s="19" customFormat="1" ht="13" x14ac:dyDescent="0.3">
      <c r="A54" s="12"/>
      <c r="B54" s="13" t="s">
        <v>41</v>
      </c>
      <c r="C54" s="12"/>
      <c r="D54" s="12"/>
      <c r="E54" s="12"/>
      <c r="F54" s="14"/>
      <c r="G54" s="14"/>
      <c r="H54" s="14"/>
      <c r="I54" s="14"/>
      <c r="J54" s="15"/>
      <c r="K54" s="16"/>
      <c r="L54" s="15"/>
      <c r="M54" s="16"/>
      <c r="N54" s="15"/>
      <c r="O54" s="15"/>
      <c r="P54" s="15"/>
      <c r="Q54" s="15"/>
      <c r="R54" s="15"/>
      <c r="S54" s="15"/>
      <c r="T54" s="15"/>
      <c r="U54" s="15"/>
      <c r="V54" s="16"/>
      <c r="W54" s="16"/>
      <c r="X54" s="17"/>
      <c r="Y54" s="17"/>
      <c r="Z54" s="17"/>
      <c r="AA54" s="17"/>
      <c r="AB54" s="17"/>
      <c r="AC54" s="18"/>
      <c r="AD54" s="18"/>
    </row>
  </sheetData>
  <mergeCells count="1">
    <mergeCell ref="N3:S3"/>
  </mergeCells>
  <conditionalFormatting sqref="O17:S17">
    <cfRule type="expression" dxfId="23" priority="4">
      <formula>O$10=O$4</formula>
    </cfRule>
  </conditionalFormatting>
  <conditionalFormatting sqref="O24:S24">
    <cfRule type="expression" dxfId="22" priority="3">
      <formula>O$10=O$4</formula>
    </cfRule>
  </conditionalFormatting>
  <conditionalFormatting sqref="O33:S33">
    <cfRule type="expression" dxfId="21" priority="2">
      <formula>O$10=O$4</formula>
    </cfRule>
  </conditionalFormatting>
  <conditionalFormatting sqref="O49:S49">
    <cfRule type="expression" dxfId="20" priority="1">
      <formula>O$10=O$4</formula>
    </cfRule>
  </conditionalFormatting>
  <dataValidations count="2">
    <dataValidation type="list" allowBlank="1" showInputMessage="1" showErrorMessage="1" sqref="F53" xr:uid="{127CDB24-8321-435A-9C45-365EFEF8D0DB}">
      <formula1>"Real 2010,Real 2011,Real 2012,Real 2013,Real 2014,Real 2015,Nominal"</formula1>
    </dataValidation>
    <dataValidation type="list" allowBlank="1" showInputMessage="1" showErrorMessage="1" sqref="F12 F19" xr:uid="{8BC3111A-66FD-4B04-BD19-422C0C323B17}">
      <formula1>$F$50:$F$51</formula1>
    </dataValidation>
  </dataValidations>
  <pageMargins left="0.7" right="0.7" top="0.75" bottom="0.75" header="0.3" footer="0.3"/>
  <pageSetup paperSize="9" orientation="portrait" verticalDpi="4" r:id="rId1"/>
  <headerFooter>
    <oddFooter>&amp;L&amp;1#&amp;"Calibri"&amp;8&amp;K000000For Official use only</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53F895DB-1345-465A-BB8E-FAC1B8718FC6}">
          <x14:formula1>
            <xm:f>'Lookup|Tables'!$G$81:$G$84</xm:f>
          </x14:formula1>
          <xm:sqref>F34:F46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AB868-E603-4EC6-9B0B-081AE8E7D9EA}">
  <sheetPr codeName="Sheet11">
    <tabColor rgb="FFCCFFCC"/>
  </sheetPr>
  <dimension ref="A1:AD46"/>
  <sheetViews>
    <sheetView showGridLines="0" zoomScale="118" zoomScaleNormal="118" workbookViewId="0"/>
  </sheetViews>
  <sheetFormatPr defaultColWidth="0" defaultRowHeight="10" zeroHeight="1" x14ac:dyDescent="0.2"/>
  <cols>
    <col min="1" max="2" width="1.1796875" style="20" customWidth="1"/>
    <col min="3" max="3" width="62.54296875" style="20" bestFit="1" customWidth="1"/>
    <col min="4" max="4" width="22.54296875" style="21" customWidth="1"/>
    <col min="5" max="5" width="12.81640625" style="21" customWidth="1"/>
    <col min="6" max="6" width="8.81640625" style="21" customWidth="1"/>
    <col min="7" max="7" width="4.54296875" style="21" customWidth="1"/>
    <col min="8" max="9" width="2.81640625" style="21" customWidth="1"/>
    <col min="10" max="23" width="8.81640625" style="20" customWidth="1"/>
    <col min="24" max="38" width="8.54296875" style="20" hidden="1" customWidth="1"/>
    <col min="39" max="16384" width="8.54296875" style="20" hidden="1"/>
  </cols>
  <sheetData>
    <row r="1" spans="1:30" s="1" customFormat="1" ht="15.5" x14ac:dyDescent="0.35">
      <c r="B1" s="2" t="s">
        <v>42</v>
      </c>
      <c r="C1" s="2"/>
      <c r="D1" s="2"/>
      <c r="E1" s="2"/>
      <c r="F1" s="2"/>
      <c r="G1" s="2"/>
      <c r="H1" s="2"/>
      <c r="I1" s="2"/>
      <c r="J1" s="2"/>
      <c r="K1" s="2"/>
      <c r="L1" s="95" t="s">
        <v>58</v>
      </c>
      <c r="M1" s="96" t="s">
        <v>59</v>
      </c>
      <c r="N1" s="97" t="s">
        <v>61</v>
      </c>
      <c r="O1" s="2"/>
      <c r="P1" s="2"/>
      <c r="Q1" s="2"/>
      <c r="R1" s="2"/>
      <c r="S1" s="2"/>
      <c r="T1" s="2"/>
      <c r="U1" s="2"/>
      <c r="V1" s="2"/>
      <c r="W1" s="2"/>
    </row>
    <row r="2" spans="1:30" s="7" customFormat="1" ht="13.5" thickBot="1" x14ac:dyDescent="0.35">
      <c r="B2" s="8" t="s">
        <v>198</v>
      </c>
      <c r="C2" s="8"/>
      <c r="D2" s="8"/>
      <c r="E2" s="8"/>
      <c r="F2" s="9"/>
      <c r="G2" s="9"/>
      <c r="H2" s="9"/>
      <c r="I2" s="9"/>
    </row>
    <row r="3" spans="1:30" s="38" customFormat="1" ht="14.75" customHeight="1" x14ac:dyDescent="0.25">
      <c r="D3" s="39"/>
      <c r="E3" s="39"/>
      <c r="F3" s="39"/>
      <c r="G3" s="39"/>
      <c r="H3" s="39"/>
      <c r="I3" s="39"/>
      <c r="J3" s="64" t="s">
        <v>50</v>
      </c>
      <c r="K3" s="64"/>
      <c r="L3" s="64"/>
      <c r="M3" s="39"/>
      <c r="N3" s="202"/>
      <c r="O3" s="202"/>
      <c r="P3" s="202"/>
      <c r="Q3" s="202"/>
      <c r="R3" s="202"/>
      <c r="S3" s="202"/>
      <c r="T3" s="41"/>
      <c r="U3" s="41"/>
      <c r="V3" s="41"/>
      <c r="W3" s="41"/>
      <c r="X3" s="41"/>
      <c r="Y3" s="41"/>
      <c r="Z3" s="41"/>
    </row>
    <row r="4" spans="1:30" s="19" customFormat="1" x14ac:dyDescent="0.2">
      <c r="A4" s="42"/>
      <c r="B4" s="42"/>
      <c r="C4" s="42"/>
      <c r="D4" s="43" t="s">
        <v>45</v>
      </c>
      <c r="E4" s="43" t="s">
        <v>72</v>
      </c>
      <c r="F4" s="44" t="s">
        <v>78</v>
      </c>
      <c r="G4" s="45"/>
      <c r="H4" s="45"/>
      <c r="I4" s="45"/>
      <c r="J4" s="46">
        <f>DATE(PPFirstYear,MONTH('Input|General'!$G$9),1)</f>
        <v>43983</v>
      </c>
      <c r="K4" s="46">
        <f>DATE(PPFirstYear+1,MONTH('Input|General'!$G$9),1)</f>
        <v>44348</v>
      </c>
      <c r="L4" s="46">
        <f>DATE(PPFirstYear+2,MONTH('Input|General'!$G$9),1)</f>
        <v>44713</v>
      </c>
      <c r="M4" s="46">
        <f>DATE(PPFirstYear+3,MONTH('Input|General'!$G$9),1)</f>
        <v>45078</v>
      </c>
      <c r="N4" s="46">
        <f>DATE(PPFirstYear+4,MONTH('Input|General'!$G$9),1)</f>
        <v>45444</v>
      </c>
      <c r="O4" s="46">
        <f>DATE(PPFirstYear+5,MONTH('Input|General'!$G$9),1)</f>
        <v>45809</v>
      </c>
      <c r="P4" s="46">
        <f>DATE(PPFirstYear+6,MONTH('Input|General'!$G$9),1)</f>
        <v>46174</v>
      </c>
      <c r="Q4" s="46">
        <f>DATE(PPFirstYear+7,MONTH('Input|General'!$G$9),1)</f>
        <v>46539</v>
      </c>
      <c r="R4" s="46">
        <f>DATE(PPFirstYear+8,MONTH('Input|General'!$G$9),1)</f>
        <v>46905</v>
      </c>
      <c r="S4" s="46">
        <f>DATE(PPFirstYear+9,MONTH('Input|General'!$G$9),1)</f>
        <v>47270</v>
      </c>
      <c r="T4" s="47"/>
      <c r="U4" s="47"/>
      <c r="V4" s="48"/>
      <c r="W4" s="48"/>
    </row>
    <row r="5" spans="1:30" s="10" customFormat="1" ht="3" customHeight="1" x14ac:dyDescent="0.2">
      <c r="D5" s="11"/>
      <c r="E5" s="11"/>
      <c r="F5" s="11"/>
      <c r="G5" s="11"/>
      <c r="H5" s="11"/>
      <c r="I5" s="11"/>
    </row>
    <row r="6" spans="1:30" s="10" customFormat="1" x14ac:dyDescent="0.2">
      <c r="D6" s="11"/>
      <c r="E6" s="11"/>
      <c r="F6" s="11"/>
      <c r="G6" s="11"/>
      <c r="H6" s="11"/>
      <c r="I6" s="11"/>
    </row>
    <row r="7" spans="1:30" s="10" customFormat="1" ht="3" customHeight="1" x14ac:dyDescent="0.2">
      <c r="D7" s="11"/>
      <c r="E7" s="11"/>
      <c r="F7" s="11"/>
      <c r="G7" s="11"/>
      <c r="H7" s="11"/>
      <c r="I7" s="11"/>
    </row>
    <row r="8" spans="1:30" s="19" customFormat="1" ht="13" x14ac:dyDescent="0.3">
      <c r="A8" s="12"/>
      <c r="B8" s="13" t="s">
        <v>86</v>
      </c>
      <c r="C8" s="12"/>
      <c r="D8" s="12"/>
      <c r="E8" s="65" t="s">
        <v>87</v>
      </c>
      <c r="F8" s="81">
        <f>DATE(PPLastYear,MONTH('Input|General'!G9),1)</f>
        <v>45444</v>
      </c>
      <c r="G8" s="14"/>
      <c r="H8" s="14"/>
      <c r="I8" s="14"/>
      <c r="J8" s="15"/>
      <c r="K8" s="16"/>
      <c r="L8" s="15"/>
      <c r="M8" s="16"/>
      <c r="N8" s="15"/>
      <c r="O8" s="15"/>
      <c r="P8" s="15"/>
      <c r="Q8" s="15"/>
      <c r="R8" s="15"/>
      <c r="S8" s="15"/>
      <c r="T8" s="15"/>
      <c r="U8" s="15"/>
      <c r="V8" s="16"/>
      <c r="W8" s="16"/>
      <c r="X8" s="17"/>
      <c r="Y8" s="17"/>
      <c r="Z8" s="17"/>
      <c r="AA8" s="17"/>
      <c r="AB8" s="17"/>
      <c r="AC8" s="18"/>
      <c r="AD8" s="18"/>
    </row>
    <row r="9" spans="1:30" x14ac:dyDescent="0.2"/>
    <row r="10" spans="1:30" ht="10.5" x14ac:dyDescent="0.25">
      <c r="C10" s="29" t="s">
        <v>88</v>
      </c>
      <c r="D10" s="23" t="s">
        <v>45</v>
      </c>
      <c r="E10" s="23" t="s">
        <v>72</v>
      </c>
      <c r="F10" s="23" t="s">
        <v>78</v>
      </c>
      <c r="J10" s="61">
        <f t="shared" ref="J10:S10" si="0">IF(YEAR(J$4)&lt;=PPLastYear,J$4,"")</f>
        <v>43983</v>
      </c>
      <c r="K10" s="61">
        <f t="shared" si="0"/>
        <v>44348</v>
      </c>
      <c r="L10" s="61">
        <f t="shared" si="0"/>
        <v>44713</v>
      </c>
      <c r="M10" s="61">
        <f t="shared" si="0"/>
        <v>45078</v>
      </c>
      <c r="N10" s="61">
        <f t="shared" si="0"/>
        <v>45444</v>
      </c>
      <c r="O10" s="61" t="str">
        <f t="shared" si="0"/>
        <v/>
      </c>
      <c r="P10" s="61" t="str">
        <f t="shared" si="0"/>
        <v/>
      </c>
      <c r="Q10" s="61" t="str">
        <f t="shared" si="0"/>
        <v/>
      </c>
      <c r="R10" s="61" t="str">
        <f t="shared" si="0"/>
        <v/>
      </c>
      <c r="S10" s="61" t="str">
        <f t="shared" si="0"/>
        <v/>
      </c>
    </row>
    <row r="11" spans="1:30" x14ac:dyDescent="0.2">
      <c r="C11" s="54"/>
      <c r="J11" s="63"/>
      <c r="K11" s="63"/>
      <c r="L11" s="63"/>
      <c r="M11" s="63"/>
      <c r="N11" s="63"/>
      <c r="O11" s="63"/>
      <c r="P11" s="63"/>
      <c r="Q11" s="63"/>
      <c r="R11" s="63"/>
      <c r="S11" s="63"/>
    </row>
    <row r="12" spans="1:30" x14ac:dyDescent="0.2">
      <c r="C12" s="54" t="s">
        <v>199</v>
      </c>
      <c r="D12" s="147" t="s">
        <v>90</v>
      </c>
      <c r="E12" s="21" t="str">
        <f>$E$8</f>
        <v>$millions</v>
      </c>
      <c r="F12" s="68" t="s">
        <v>107</v>
      </c>
      <c r="J12" s="69"/>
      <c r="K12" s="69"/>
      <c r="L12" s="69"/>
      <c r="M12" s="78">
        <f>INDEX($M$42:$S$43,MATCH($F12,$F$42:$F$43,0),MATCH(M$10,$M$41:$S$41,0))</f>
        <v>2.877833987800924</v>
      </c>
      <c r="N12" s="63"/>
      <c r="O12" s="78"/>
      <c r="P12" s="78"/>
      <c r="Q12" s="78"/>
      <c r="R12" s="78"/>
      <c r="S12" s="78"/>
    </row>
    <row r="13" spans="1:30" ht="10.5" x14ac:dyDescent="0.25">
      <c r="C13" s="54" t="str">
        <f>C12</f>
        <v>Property opex for properties forecast for disposal</v>
      </c>
      <c r="D13" s="21" t="s">
        <v>70</v>
      </c>
      <c r="E13" s="21" t="str">
        <f>$E$8</f>
        <v>$millions</v>
      </c>
      <c r="F13" s="70">
        <f>$F$8</f>
        <v>45444</v>
      </c>
      <c r="J13" s="71"/>
      <c r="K13" s="71"/>
      <c r="L13" s="71"/>
      <c r="M13" s="78">
        <f>M12*IF($F12="nominal",LOOKUP($F13,'Lookup|Tables'!Nominal_to_Real,'Calc|CPI Indexes'!N$31:N$42),INDEX('Calc|CPI Indexes'!$C$14:$T$27,MATCH($F12,'Calc|CPI Indexes'!$C$14:$C$27,0),MATCH($F13,'Calc|CPI Indexes'!$C$14:$T$14,0)))</f>
        <v>3.0699666183083574</v>
      </c>
      <c r="N13" s="63"/>
      <c r="O13" s="78"/>
      <c r="P13" s="79"/>
      <c r="Q13" s="79"/>
      <c r="R13" s="79"/>
      <c r="S13" s="79"/>
    </row>
    <row r="14" spans="1:30" x14ac:dyDescent="0.2">
      <c r="J14" s="63"/>
      <c r="K14" s="63"/>
      <c r="L14" s="63"/>
    </row>
    <row r="15" spans="1:30" s="19" customFormat="1" ht="13" x14ac:dyDescent="0.3">
      <c r="A15" s="12"/>
      <c r="B15" s="13" t="s">
        <v>91</v>
      </c>
      <c r="C15" s="12"/>
      <c r="D15" s="12"/>
      <c r="E15" s="12"/>
      <c r="F15" s="14"/>
      <c r="G15" s="14"/>
      <c r="H15" s="14"/>
      <c r="I15" s="14"/>
      <c r="J15" s="15"/>
      <c r="K15" s="16"/>
      <c r="L15" s="15"/>
      <c r="M15" s="16"/>
      <c r="N15" s="15"/>
      <c r="O15" s="15"/>
      <c r="P15" s="15"/>
      <c r="Q15" s="15"/>
      <c r="R15" s="15"/>
      <c r="S15" s="15"/>
      <c r="T15" s="15"/>
      <c r="U15" s="15"/>
      <c r="V15" s="16"/>
      <c r="W15" s="16"/>
      <c r="X15" s="17"/>
      <c r="Y15" s="17"/>
      <c r="Z15" s="17"/>
      <c r="AA15" s="17"/>
      <c r="AB15" s="17"/>
      <c r="AC15" s="18"/>
      <c r="AD15" s="18"/>
    </row>
    <row r="16" spans="1:30" x14ac:dyDescent="0.2">
      <c r="C16" s="54"/>
      <c r="J16" s="63"/>
      <c r="K16" s="63"/>
      <c r="L16" s="63"/>
    </row>
    <row r="17" spans="1:30" ht="10.5" x14ac:dyDescent="0.25">
      <c r="C17" s="29" t="s">
        <v>92</v>
      </c>
      <c r="D17" s="23" t="s">
        <v>45</v>
      </c>
      <c r="E17" s="23" t="s">
        <v>72</v>
      </c>
      <c r="F17" s="23" t="s">
        <v>78</v>
      </c>
      <c r="J17" s="61" t="str">
        <f>IF(YEAR(J$4)&gt;='Input|General'!$G$13,IF(YEAR(J$4)&lt;='Input|General'!$G$14,J$4,""),"")</f>
        <v/>
      </c>
      <c r="K17" s="61" t="str">
        <f>IF(YEAR(K$4)&gt;='Input|General'!$G$13,IF(YEAR(K$4)&lt;='Input|General'!$G$14,K$4,""),"")</f>
        <v/>
      </c>
      <c r="L17" s="61" t="str">
        <f>IF(YEAR(L$4)&gt;='Input|General'!$G$13,IF(YEAR(L$4)&lt;='Input|General'!$G$14,L$4,""),"")</f>
        <v/>
      </c>
      <c r="M17" s="61" t="str">
        <f>IF(YEAR(M$4)&gt;='Input|General'!$G$13,IF(YEAR(M$4)&lt;='Input|General'!$G$14,M$4,""),"")</f>
        <v/>
      </c>
      <c r="N17" s="61" t="str">
        <f>IF(YEAR(N$4)&gt;='Input|General'!$G$13,IF(YEAR(N$4)&lt;='Input|General'!$G$14,N$4,""),"")</f>
        <v/>
      </c>
      <c r="O17" s="154">
        <f>IF(YEAR(O$4)&gt;=FPFirstYear,IF(YEAR(O$4)&lt;=FPLastYear,O$4,""),"")</f>
        <v>45809</v>
      </c>
      <c r="P17" s="154">
        <f>IF(YEAR(P$4)&gt;=FPFirstYear,IF(YEAR(P$4)&lt;=FPLastYear,P$4,""),"")</f>
        <v>46174</v>
      </c>
      <c r="Q17" s="154">
        <f>IF(YEAR(Q$4)&gt;=FPFirstYear,IF(YEAR(Q$4)&lt;=FPLastYear,Q$4,""),"")</f>
        <v>46539</v>
      </c>
      <c r="R17" s="154">
        <f>IF(YEAR(R$4)&gt;=FPFirstYear,IF(YEAR(R$4)&lt;=FPLastYear,R$4,""),"")</f>
        <v>46905</v>
      </c>
      <c r="S17" s="154">
        <f>IF(YEAR(S$4)&gt;=FPFirstYear,IF(YEAR(S$4)&lt;=FPLastYear,S$4,""),"")</f>
        <v>47270</v>
      </c>
    </row>
    <row r="18" spans="1:30" ht="10.5" x14ac:dyDescent="0.25">
      <c r="C18" s="29"/>
      <c r="J18" s="24"/>
      <c r="K18" s="24"/>
      <c r="L18" s="24"/>
      <c r="M18" s="24"/>
      <c r="N18" s="24"/>
      <c r="O18" s="24"/>
      <c r="P18" s="24"/>
      <c r="Q18" s="24"/>
      <c r="R18" s="24"/>
      <c r="S18" s="24"/>
    </row>
    <row r="19" spans="1:30" x14ac:dyDescent="0.2">
      <c r="C19" s="54" t="s">
        <v>200</v>
      </c>
      <c r="D19" s="147" t="s">
        <v>90</v>
      </c>
      <c r="E19" s="21" t="str">
        <f>$E$8</f>
        <v>$millions</v>
      </c>
      <c r="F19" s="68" t="s">
        <v>107</v>
      </c>
      <c r="J19" s="73"/>
      <c r="K19" s="73"/>
      <c r="L19" s="73"/>
      <c r="M19" s="73"/>
      <c r="N19" s="73"/>
      <c r="O19" s="78">
        <f>INDEX($M$42:$S$43,MATCH($F19,$F$42:$F$43,0),MATCH(O$17,$M$41:$S$41,0))</f>
        <v>0</v>
      </c>
      <c r="P19" s="78">
        <f>INDEX($M$42:$S$43,MATCH($F19,$F$42:$F$43,0),MATCH(P$17,$M$41:$S$41,0))</f>
        <v>0</v>
      </c>
      <c r="Q19" s="78">
        <f>INDEX($M$42:$S$43,MATCH($F19,$F$42:$F$43,0),MATCH(Q$17,$M$41:$S$41,0))</f>
        <v>0</v>
      </c>
      <c r="R19" s="78">
        <f>INDEX($M$42:$S$43,MATCH($F19,$F$42:$F$43,0),MATCH(R$17,$M$41:$S$41,0))</f>
        <v>0</v>
      </c>
      <c r="S19" s="78">
        <f>INDEX($M$42:$S$43,MATCH($F19,$F$42:$F$43,0),MATCH(S$17,$M$41:$S$41,0))</f>
        <v>0</v>
      </c>
    </row>
    <row r="20" spans="1:30" x14ac:dyDescent="0.2">
      <c r="C20" s="54" t="str">
        <f>C19</f>
        <v>Property opex after disposal of properties</v>
      </c>
      <c r="D20" s="21" t="s">
        <v>70</v>
      </c>
      <c r="E20" s="21" t="str">
        <f>$E$8</f>
        <v>$millions</v>
      </c>
      <c r="F20" s="70">
        <f t="shared" ref="F20" si="1">$F$8</f>
        <v>45444</v>
      </c>
      <c r="J20" s="73"/>
      <c r="K20" s="73"/>
      <c r="L20" s="73"/>
      <c r="M20" s="73"/>
      <c r="N20" s="73"/>
      <c r="O20" s="78">
        <f>O19*IF($F19="nominal",LOOKUP($F20,'Lookup|Tables'!Nominal_to_Real,'Calc|CPI Indexes'!P$31:P$42),INDEX('Calc|CPI Indexes'!$C$14:$T$27,MATCH($F19,'Calc|CPI Indexes'!$C$14:$C$27,0),MATCH($F20,'Calc|CPI Indexes'!$C$14:$T$14,0)))</f>
        <v>0</v>
      </c>
      <c r="P20" s="78">
        <f>P19*IF($F19="nominal",LOOKUP($F20,'Lookup|Tables'!Nominal_to_Real,'Calc|CPI Indexes'!Q$31:Q$42),INDEX('Calc|CPI Indexes'!$C$14:$T$27,MATCH($F19,'Calc|CPI Indexes'!$C$14:$C$27,0),MATCH($F20,'Calc|CPI Indexes'!$C$14:$T$14,0)))</f>
        <v>0</v>
      </c>
      <c r="Q20" s="78">
        <f>Q19*IF($F19="nominal",LOOKUP($F20,'Lookup|Tables'!Nominal_to_Real,'Calc|CPI Indexes'!R$31:R$42),INDEX('Calc|CPI Indexes'!$C$14:$T$27,MATCH($F19,'Calc|CPI Indexes'!$C$14:$C$27,0),MATCH($F20,'Calc|CPI Indexes'!$C$14:$T$14,0)))</f>
        <v>0</v>
      </c>
      <c r="R20" s="78">
        <f>R19*IF($F19="nominal",LOOKUP($F20,'Lookup|Tables'!Nominal_to_Real,'Calc|CPI Indexes'!S$31:S$42),INDEX('Calc|CPI Indexes'!$C$14:$T$27,MATCH($F19,'Calc|CPI Indexes'!$C$14:$C$27,0),MATCH($F20,'Calc|CPI Indexes'!$C$14:$T$14,0)))</f>
        <v>0</v>
      </c>
      <c r="S20" s="78">
        <f>S19*IF($F19="nominal",LOOKUP($F20,'Lookup|Tables'!Nominal_to_Real,'Calc|CPI Indexes'!T$31:T$42),INDEX('Calc|CPI Indexes'!$C$14:$T$27,MATCH($F19,'Calc|CPI Indexes'!$C$14:$C$27,0),MATCH($F20,'Calc|CPI Indexes'!$C$14:$T$14,0)))</f>
        <v>0</v>
      </c>
    </row>
    <row r="21" spans="1:30" x14ac:dyDescent="0.2">
      <c r="C21" s="72"/>
      <c r="F21" s="70"/>
      <c r="J21" s="73"/>
      <c r="K21" s="73"/>
      <c r="L21" s="73"/>
      <c r="M21" s="73"/>
      <c r="N21" s="73"/>
      <c r="O21" s="73"/>
      <c r="P21" s="73"/>
      <c r="Q21" s="73"/>
      <c r="R21" s="73"/>
      <c r="S21" s="73"/>
    </row>
    <row r="22" spans="1:30" s="19" customFormat="1" ht="13" x14ac:dyDescent="0.3">
      <c r="A22" s="12"/>
      <c r="B22" s="13" t="s">
        <v>93</v>
      </c>
      <c r="C22" s="12"/>
      <c r="D22" s="12"/>
      <c r="E22" s="12"/>
      <c r="F22" s="14"/>
      <c r="G22" s="14"/>
      <c r="H22" s="14"/>
      <c r="I22" s="14"/>
      <c r="J22" s="15"/>
      <c r="K22" s="16"/>
      <c r="L22" s="15"/>
      <c r="M22" s="16"/>
      <c r="N22" s="15"/>
      <c r="O22" s="15"/>
      <c r="P22" s="15"/>
      <c r="Q22" s="15"/>
      <c r="R22" s="15"/>
      <c r="S22" s="15"/>
      <c r="T22" s="15"/>
      <c r="U22" s="15"/>
      <c r="V22" s="16"/>
      <c r="W22" s="16"/>
      <c r="X22" s="17"/>
      <c r="Y22" s="17"/>
      <c r="Z22" s="17"/>
      <c r="AA22" s="17"/>
      <c r="AB22" s="17"/>
      <c r="AC22" s="18"/>
      <c r="AD22" s="18"/>
    </row>
    <row r="23" spans="1:30" x14ac:dyDescent="0.2">
      <c r="C23" s="54"/>
      <c r="J23" s="63"/>
      <c r="K23" s="63"/>
      <c r="L23" s="63"/>
    </row>
    <row r="24" spans="1:30" ht="10.5" x14ac:dyDescent="0.25">
      <c r="C24" s="29" t="s">
        <v>94</v>
      </c>
      <c r="D24" s="23" t="s">
        <v>45</v>
      </c>
      <c r="E24" s="23" t="s">
        <v>72</v>
      </c>
      <c r="F24" s="23" t="s">
        <v>78</v>
      </c>
      <c r="J24" s="61" t="str">
        <f>IF(YEAR(J$4)&gt;='Input|General'!$G$13,IF(YEAR(J$4)&lt;='Input|General'!$G$14,J$4,""),"")</f>
        <v/>
      </c>
      <c r="K24" s="61" t="str">
        <f>IF(YEAR(K$4)&gt;='Input|General'!$G$13,IF(YEAR(K$4)&lt;='Input|General'!$G$14,K$4,""),"")</f>
        <v/>
      </c>
      <c r="L24" s="61" t="str">
        <f>IF(YEAR(L$4)&gt;='Input|General'!$G$13,IF(YEAR(L$4)&lt;='Input|General'!$G$14,L$4,""),"")</f>
        <v/>
      </c>
      <c r="M24" s="61" t="str">
        <f>IF(YEAR(M$4)&gt;='Input|General'!$G$13,IF(YEAR(M$4)&lt;='Input|General'!$G$14,M$4,""),"")</f>
        <v/>
      </c>
      <c r="N24" s="61" t="str">
        <f>IF(YEAR(N$4)&gt;='Input|General'!$G$13,IF(YEAR(N$4)&lt;='Input|General'!$G$14,N$4,""),"")</f>
        <v/>
      </c>
      <c r="O24" s="154">
        <f>IF(YEAR(O$4)&gt;=FPFirstYear,IF(YEAR(O$4)&lt;=FPLastYear,O$4,""),"")</f>
        <v>45809</v>
      </c>
      <c r="P24" s="154">
        <f>IF(YEAR(P$4)&gt;=FPFirstYear,IF(YEAR(P$4)&lt;=FPLastYear,P$4,""),"")</f>
        <v>46174</v>
      </c>
      <c r="Q24" s="154">
        <f>IF(YEAR(Q$4)&gt;=FPFirstYear,IF(YEAR(Q$4)&lt;=FPLastYear,Q$4,""),"")</f>
        <v>46539</v>
      </c>
      <c r="R24" s="154">
        <f>IF(YEAR(R$4)&gt;=FPFirstYear,IF(YEAR(R$4)&lt;=FPLastYear,R$4,""),"")</f>
        <v>46905</v>
      </c>
      <c r="S24" s="154">
        <f>IF(YEAR(S$4)&gt;=FPFirstYear,IF(YEAR(S$4)&lt;=FPLastYear,S$4,""),"")</f>
        <v>47270</v>
      </c>
    </row>
    <row r="25" spans="1:30" ht="10.5" x14ac:dyDescent="0.25">
      <c r="C25" s="29"/>
      <c r="D25" s="23"/>
      <c r="E25" s="23"/>
      <c r="F25" s="23"/>
      <c r="J25" s="61"/>
      <c r="K25" s="61"/>
      <c r="L25" s="61"/>
      <c r="M25" s="61"/>
      <c r="N25" s="61"/>
      <c r="O25" s="61"/>
      <c r="P25" s="61"/>
      <c r="Q25" s="61"/>
      <c r="R25" s="61"/>
      <c r="S25" s="61"/>
    </row>
    <row r="26" spans="1:30" x14ac:dyDescent="0.2">
      <c r="C26" s="54" t="s">
        <v>200</v>
      </c>
      <c r="D26" s="21" t="s">
        <v>70</v>
      </c>
      <c r="E26" s="21" t="str">
        <f>$E$8</f>
        <v>$millions</v>
      </c>
      <c r="F26" s="70">
        <f>F20</f>
        <v>45444</v>
      </c>
      <c r="J26" s="73"/>
      <c r="K26" s="73"/>
      <c r="L26" s="73"/>
      <c r="M26" s="73"/>
      <c r="N26" s="73"/>
      <c r="O26" s="78">
        <f>O20</f>
        <v>0</v>
      </c>
      <c r="P26" s="78">
        <f>P20</f>
        <v>0</v>
      </c>
      <c r="Q26" s="78">
        <f>Q20</f>
        <v>0</v>
      </c>
      <c r="R26" s="78">
        <f>R20</f>
        <v>0</v>
      </c>
      <c r="S26" s="78">
        <f>S20</f>
        <v>0</v>
      </c>
    </row>
    <row r="27" spans="1:30" ht="10.5" x14ac:dyDescent="0.25">
      <c r="C27" s="54" t="s">
        <v>201</v>
      </c>
      <c r="D27" s="21" t="s">
        <v>70</v>
      </c>
      <c r="E27" s="21" t="str">
        <f>$E$8</f>
        <v>$millions</v>
      </c>
      <c r="F27" s="70">
        <f>F13</f>
        <v>45444</v>
      </c>
      <c r="J27" s="24"/>
      <c r="K27" s="24"/>
      <c r="L27" s="24"/>
      <c r="M27" s="24"/>
      <c r="N27" s="24"/>
      <c r="O27" s="78">
        <f>$M$13</f>
        <v>3.0699666183083574</v>
      </c>
      <c r="P27" s="78">
        <f t="shared" ref="P27:S27" si="2">$M$13</f>
        <v>3.0699666183083574</v>
      </c>
      <c r="Q27" s="78">
        <f t="shared" si="2"/>
        <v>3.0699666183083574</v>
      </c>
      <c r="R27" s="78">
        <f t="shared" si="2"/>
        <v>3.0699666183083574</v>
      </c>
      <c r="S27" s="78">
        <f t="shared" si="2"/>
        <v>3.0699666183083574</v>
      </c>
    </row>
    <row r="28" spans="1:30" ht="3" customHeight="1" x14ac:dyDescent="0.2">
      <c r="F28" s="105"/>
      <c r="O28" s="100"/>
      <c r="P28" s="100"/>
      <c r="Q28" s="100"/>
      <c r="R28" s="100"/>
      <c r="S28" s="100"/>
    </row>
    <row r="29" spans="1:30" ht="10.5" x14ac:dyDescent="0.25">
      <c r="C29" s="74" t="s">
        <v>202</v>
      </c>
      <c r="D29" s="75" t="s">
        <v>70</v>
      </c>
      <c r="E29" s="75" t="str">
        <f>$E$8</f>
        <v>$millions</v>
      </c>
      <c r="F29" s="76">
        <f>F27</f>
        <v>45444</v>
      </c>
      <c r="G29" s="23"/>
      <c r="H29" s="23"/>
      <c r="I29" s="23"/>
      <c r="J29" s="77"/>
      <c r="K29" s="77"/>
      <c r="L29" s="77"/>
      <c r="M29" s="77"/>
      <c r="N29" s="77"/>
      <c r="O29" s="79">
        <f>O26-O27</f>
        <v>-3.0699666183083574</v>
      </c>
      <c r="P29" s="79">
        <f>P26-P27</f>
        <v>-3.0699666183083574</v>
      </c>
      <c r="Q29" s="79">
        <f>Q26-Q27</f>
        <v>-3.0699666183083574</v>
      </c>
      <c r="R29" s="79">
        <f>R26-R27</f>
        <v>-3.0699666183083574</v>
      </c>
      <c r="S29" s="79">
        <f>S26-S27</f>
        <v>-3.0699666183083574</v>
      </c>
    </row>
    <row r="30" spans="1:30" ht="10.5" x14ac:dyDescent="0.25">
      <c r="C30" s="106"/>
      <c r="D30" s="23"/>
      <c r="E30" s="23"/>
      <c r="F30" s="76"/>
      <c r="G30" s="23"/>
      <c r="H30" s="23"/>
      <c r="I30" s="23"/>
      <c r="J30" s="77"/>
      <c r="K30" s="77"/>
      <c r="L30" s="77"/>
      <c r="M30" s="77"/>
      <c r="N30" s="77"/>
      <c r="O30" s="79"/>
      <c r="P30" s="79"/>
      <c r="Q30" s="79"/>
      <c r="R30" s="79"/>
      <c r="S30" s="79"/>
    </row>
    <row r="31" spans="1:30" s="19" customFormat="1" ht="13" x14ac:dyDescent="0.3">
      <c r="A31" s="12"/>
      <c r="B31" s="13" t="s">
        <v>98</v>
      </c>
      <c r="C31" s="12"/>
      <c r="D31" s="12"/>
      <c r="E31" s="12"/>
      <c r="F31" s="14"/>
      <c r="G31" s="14"/>
      <c r="H31" s="14"/>
      <c r="I31" s="14"/>
      <c r="J31" s="15"/>
      <c r="K31" s="16"/>
      <c r="L31" s="15"/>
      <c r="M31" s="16"/>
      <c r="N31" s="15"/>
      <c r="O31" s="15"/>
      <c r="P31" s="15"/>
      <c r="Q31" s="15"/>
      <c r="R31" s="15"/>
      <c r="S31" s="15"/>
      <c r="T31" s="15"/>
      <c r="U31" s="15"/>
      <c r="V31" s="16"/>
      <c r="W31" s="16"/>
      <c r="X31" s="17"/>
      <c r="Y31" s="17"/>
      <c r="Z31" s="17"/>
      <c r="AA31" s="17"/>
      <c r="AB31" s="17"/>
      <c r="AC31" s="18"/>
      <c r="AD31" s="18"/>
    </row>
    <row r="32" spans="1:30" x14ac:dyDescent="0.2">
      <c r="C32" s="54"/>
      <c r="D32" s="63"/>
      <c r="E32" s="63"/>
      <c r="F32" s="108"/>
      <c r="G32" s="63"/>
      <c r="H32" s="63"/>
      <c r="I32" s="63"/>
      <c r="J32" s="73"/>
      <c r="K32" s="73"/>
      <c r="L32" s="73"/>
      <c r="M32" s="73"/>
      <c r="N32" s="73"/>
      <c r="O32" s="78"/>
      <c r="P32" s="78"/>
      <c r="Q32" s="78"/>
      <c r="R32" s="78"/>
      <c r="S32" s="78"/>
    </row>
    <row r="33" spans="1:30" ht="10.5" x14ac:dyDescent="0.25">
      <c r="C33" s="29" t="s">
        <v>203</v>
      </c>
      <c r="D33" s="63"/>
      <c r="E33" s="63"/>
      <c r="F33" s="20"/>
      <c r="G33" s="20"/>
      <c r="H33" s="63"/>
      <c r="I33" s="63"/>
      <c r="J33" s="73"/>
      <c r="K33" s="73"/>
      <c r="L33" s="73"/>
      <c r="M33" s="154">
        <f t="shared" ref="M33:S33" si="3">IF(YEAR(M$4)&lt;=PPLastYear,M$4,IF(YEAR(M$4)&gt;=FPFirstYear,IF(YEAR(M$4)&lt;=FPLastYear,M$4,""),""))</f>
        <v>45078</v>
      </c>
      <c r="N33" s="154">
        <f t="shared" si="3"/>
        <v>45444</v>
      </c>
      <c r="O33" s="154">
        <f t="shared" si="3"/>
        <v>45809</v>
      </c>
      <c r="P33" s="154">
        <f t="shared" si="3"/>
        <v>46174</v>
      </c>
      <c r="Q33" s="154">
        <f t="shared" si="3"/>
        <v>46539</v>
      </c>
      <c r="R33" s="154">
        <f t="shared" si="3"/>
        <v>46905</v>
      </c>
      <c r="S33" s="154">
        <f t="shared" si="3"/>
        <v>47270</v>
      </c>
    </row>
    <row r="34" spans="1:30" x14ac:dyDescent="0.2">
      <c r="C34" s="54" t="s">
        <v>204</v>
      </c>
      <c r="D34" s="147" t="s">
        <v>90</v>
      </c>
      <c r="E34" s="21" t="str">
        <f t="shared" ref="E34:E36" si="4">$E$8</f>
        <v>$millions</v>
      </c>
      <c r="F34" s="68" t="s">
        <v>107</v>
      </c>
      <c r="G34" s="20"/>
      <c r="H34" s="63"/>
      <c r="I34" s="63"/>
      <c r="J34" s="73"/>
      <c r="K34" s="73"/>
      <c r="L34" s="73"/>
      <c r="M34" s="118">
        <v>0.90776018714599993</v>
      </c>
      <c r="N34" s="118">
        <v>0</v>
      </c>
      <c r="O34" s="118">
        <v>0</v>
      </c>
      <c r="P34" s="118">
        <v>0</v>
      </c>
      <c r="Q34" s="118">
        <v>0</v>
      </c>
      <c r="R34" s="118">
        <v>0</v>
      </c>
      <c r="S34" s="118">
        <v>0</v>
      </c>
    </row>
    <row r="35" spans="1:30" x14ac:dyDescent="0.2">
      <c r="C35" s="54" t="s">
        <v>205</v>
      </c>
      <c r="D35" s="147" t="s">
        <v>90</v>
      </c>
      <c r="E35" s="21" t="str">
        <f t="shared" si="4"/>
        <v>$millions</v>
      </c>
      <c r="F35" s="68" t="s">
        <v>107</v>
      </c>
      <c r="G35" s="20"/>
      <c r="H35" s="63"/>
      <c r="I35" s="63"/>
      <c r="J35" s="73"/>
      <c r="K35" s="73"/>
      <c r="L35" s="73"/>
      <c r="M35" s="118">
        <v>0.27367117243799999</v>
      </c>
      <c r="N35" s="118">
        <v>0</v>
      </c>
      <c r="O35" s="118">
        <v>0</v>
      </c>
      <c r="P35" s="118">
        <v>0</v>
      </c>
      <c r="Q35" s="118">
        <v>0</v>
      </c>
      <c r="R35" s="118">
        <v>0</v>
      </c>
      <c r="S35" s="118">
        <v>0</v>
      </c>
    </row>
    <row r="36" spans="1:30" x14ac:dyDescent="0.2">
      <c r="C36" s="54" t="s">
        <v>206</v>
      </c>
      <c r="D36" s="147" t="s">
        <v>90</v>
      </c>
      <c r="E36" s="21" t="str">
        <f t="shared" si="4"/>
        <v>$millions</v>
      </c>
      <c r="F36" s="68" t="s">
        <v>107</v>
      </c>
      <c r="G36" s="20"/>
      <c r="H36" s="63"/>
      <c r="I36" s="63"/>
      <c r="J36" s="73"/>
      <c r="K36" s="73"/>
      <c r="L36" s="73"/>
      <c r="M36" s="118">
        <v>1.858568640416</v>
      </c>
      <c r="N36" s="118">
        <v>0</v>
      </c>
      <c r="O36" s="118">
        <v>0</v>
      </c>
      <c r="P36" s="118">
        <v>0</v>
      </c>
      <c r="Q36" s="118">
        <v>0</v>
      </c>
      <c r="R36" s="118">
        <v>0</v>
      </c>
      <c r="S36" s="118">
        <v>0</v>
      </c>
    </row>
    <row r="37" spans="1:30" x14ac:dyDescent="0.2">
      <c r="C37" s="54" t="s">
        <v>207</v>
      </c>
      <c r="D37" s="21" t="s">
        <v>70</v>
      </c>
      <c r="E37" s="21" t="str">
        <f>E36</f>
        <v>$millions</v>
      </c>
      <c r="F37" s="108" t="str">
        <f>F36</f>
        <v>nominal</v>
      </c>
      <c r="G37" s="20"/>
      <c r="H37" s="63"/>
      <c r="I37" s="63"/>
      <c r="J37" s="73"/>
      <c r="K37" s="73"/>
      <c r="L37" s="73"/>
      <c r="M37" s="116">
        <f>SUM(M34:M36)</f>
        <v>3.04</v>
      </c>
      <c r="N37" s="116">
        <f t="shared" ref="N37:S37" si="5">SUM(N34:N36)</f>
        <v>0</v>
      </c>
      <c r="O37" s="116">
        <f t="shared" si="5"/>
        <v>0</v>
      </c>
      <c r="P37" s="116">
        <f t="shared" si="5"/>
        <v>0</v>
      </c>
      <c r="Q37" s="116">
        <f t="shared" si="5"/>
        <v>0</v>
      </c>
      <c r="R37" s="116">
        <f t="shared" si="5"/>
        <v>0</v>
      </c>
      <c r="S37" s="116">
        <f t="shared" si="5"/>
        <v>0</v>
      </c>
    </row>
    <row r="38" spans="1:30" x14ac:dyDescent="0.2">
      <c r="C38" s="54"/>
      <c r="D38" s="63"/>
      <c r="E38" s="63"/>
      <c r="F38" s="108"/>
      <c r="G38" s="63"/>
      <c r="H38" s="63"/>
      <c r="I38" s="63"/>
      <c r="J38" s="73"/>
      <c r="K38" s="73"/>
      <c r="L38" s="73"/>
      <c r="M38" s="73"/>
      <c r="N38" s="73"/>
      <c r="O38" s="78"/>
      <c r="P38" s="78"/>
      <c r="Q38" s="78"/>
      <c r="R38" s="78"/>
      <c r="S38" s="78"/>
    </row>
    <row r="39" spans="1:30" ht="10.5" x14ac:dyDescent="0.25">
      <c r="C39" s="29" t="s">
        <v>102</v>
      </c>
      <c r="D39" s="147" t="s">
        <v>90</v>
      </c>
      <c r="E39" s="21" t="s">
        <v>82</v>
      </c>
      <c r="F39" s="108"/>
      <c r="G39" s="63"/>
      <c r="H39" s="63"/>
      <c r="I39" s="63"/>
      <c r="J39" s="73"/>
      <c r="K39" s="73"/>
      <c r="L39" s="73"/>
      <c r="M39" s="130">
        <v>0.94665591703977758</v>
      </c>
      <c r="N39" s="130">
        <v>0.94665591703977758</v>
      </c>
      <c r="O39" s="130">
        <v>0.94665591703977758</v>
      </c>
      <c r="P39" s="130">
        <v>0.94665591703977758</v>
      </c>
      <c r="Q39" s="130">
        <v>0.94665591703977758</v>
      </c>
      <c r="R39" s="130">
        <v>0.94665591703977758</v>
      </c>
      <c r="S39" s="130">
        <v>0.94665591703977758</v>
      </c>
    </row>
    <row r="40" spans="1:30" x14ac:dyDescent="0.2">
      <c r="C40" s="54"/>
      <c r="D40" s="63"/>
      <c r="E40" s="63"/>
      <c r="F40" s="108"/>
      <c r="G40" s="63"/>
      <c r="H40" s="63"/>
      <c r="I40" s="63"/>
      <c r="J40" s="73"/>
      <c r="K40" s="73"/>
      <c r="L40" s="73"/>
      <c r="M40" s="73"/>
      <c r="N40" s="73"/>
      <c r="O40" s="78"/>
      <c r="P40" s="78"/>
      <c r="Q40" s="78"/>
      <c r="R40" s="78"/>
      <c r="S40" s="78"/>
    </row>
    <row r="41" spans="1:30" ht="10.5" x14ac:dyDescent="0.25">
      <c r="C41" s="29" t="s">
        <v>208</v>
      </c>
      <c r="D41" s="63"/>
      <c r="E41" s="63"/>
      <c r="F41" s="108"/>
      <c r="G41" s="63"/>
      <c r="H41" s="63"/>
      <c r="I41" s="63"/>
      <c r="J41" s="73"/>
      <c r="K41" s="73"/>
      <c r="L41" s="73"/>
      <c r="M41" s="154">
        <f t="shared" ref="M41:S41" si="6">IF(YEAR(M$4)&lt;=PPLastYear,M$4,IF(YEAR(M$4)&gt;=FPFirstYear,IF(YEAR(M$4)&lt;=FPLastYear,M$4,""),""))</f>
        <v>45078</v>
      </c>
      <c r="N41" s="154">
        <f t="shared" si="6"/>
        <v>45444</v>
      </c>
      <c r="O41" s="154">
        <f t="shared" si="6"/>
        <v>45809</v>
      </c>
      <c r="P41" s="154">
        <f t="shared" si="6"/>
        <v>46174</v>
      </c>
      <c r="Q41" s="154">
        <f t="shared" si="6"/>
        <v>46539</v>
      </c>
      <c r="R41" s="154">
        <f t="shared" si="6"/>
        <v>46905</v>
      </c>
      <c r="S41" s="154">
        <f t="shared" si="6"/>
        <v>47270</v>
      </c>
    </row>
    <row r="42" spans="1:30" x14ac:dyDescent="0.2">
      <c r="C42" s="54" t="s">
        <v>209</v>
      </c>
      <c r="D42" s="21" t="s">
        <v>70</v>
      </c>
      <c r="E42" s="21" t="str">
        <f t="shared" ref="E42:E43" si="7">$E$8</f>
        <v>$millions</v>
      </c>
      <c r="F42" s="108" t="str">
        <f>$F$37</f>
        <v>nominal</v>
      </c>
      <c r="G42" s="63"/>
      <c r="H42" s="63"/>
      <c r="I42" s="63"/>
      <c r="J42" s="73"/>
      <c r="K42" s="73"/>
      <c r="L42" s="73"/>
      <c r="M42" s="110">
        <f>M39*M37</f>
        <v>2.877833987800924</v>
      </c>
      <c r="N42" s="110">
        <f t="shared" ref="N42:S42" si="8">N39*N37</f>
        <v>0</v>
      </c>
      <c r="O42" s="110">
        <f t="shared" si="8"/>
        <v>0</v>
      </c>
      <c r="P42" s="110">
        <f t="shared" si="8"/>
        <v>0</v>
      </c>
      <c r="Q42" s="110">
        <f t="shared" si="8"/>
        <v>0</v>
      </c>
      <c r="R42" s="110">
        <f t="shared" si="8"/>
        <v>0</v>
      </c>
      <c r="S42" s="110">
        <f t="shared" si="8"/>
        <v>0</v>
      </c>
    </row>
    <row r="43" spans="1:30" x14ac:dyDescent="0.2">
      <c r="C43" s="54" t="s">
        <v>209</v>
      </c>
      <c r="D43" s="21" t="s">
        <v>70</v>
      </c>
      <c r="E43" s="21" t="str">
        <f t="shared" si="7"/>
        <v>$millions</v>
      </c>
      <c r="F43" s="108">
        <f t="shared" ref="F43" si="9">$F$8</f>
        <v>45444</v>
      </c>
      <c r="G43" s="63"/>
      <c r="H43" s="63"/>
      <c r="I43" s="63"/>
      <c r="J43" s="73"/>
      <c r="K43" s="73"/>
      <c r="L43" s="73"/>
      <c r="M43" s="110">
        <f>M42*IF($F42="nominal",LOOKUP($F43,'Lookup|Tables'!Nominal_to_Real,'Calc|CPI Indexes'!N$31:N$42),INDEX('Calc|CPI Indexes'!$C$14:$T$27,MATCH($F42,'Calc|CPI Indexes'!$C$14:$C$27,0),MATCH($F43,'Calc|CPI Indexes'!$C$14:$T$14,0)))</f>
        <v>3.0699666183083574</v>
      </c>
      <c r="N43" s="110">
        <f>N42*IF($F42="nominal",LOOKUP($F43,'Lookup|Tables'!Nominal_to_Real,'Calc|CPI Indexes'!O$31:O$42),INDEX('Calc|CPI Indexes'!$C$14:$T$27,MATCH($F42,'Calc|CPI Indexes'!$C$14:$C$27,0),MATCH($F43,'Calc|CPI Indexes'!$C$14:$T$14,0)))</f>
        <v>0</v>
      </c>
      <c r="O43" s="110">
        <f>O42*IF($F42="nominal",LOOKUP($F43,'Lookup|Tables'!Nominal_to_Real,'Calc|CPI Indexes'!P$31:P$42),INDEX('Calc|CPI Indexes'!$C$14:$T$27,MATCH($F42,'Calc|CPI Indexes'!$C$14:$C$27,0),MATCH($F43,'Calc|CPI Indexes'!$C$14:$T$14,0)))</f>
        <v>0</v>
      </c>
      <c r="P43" s="110">
        <f>P42*IF($F42="nominal",LOOKUP($F43,'Lookup|Tables'!Nominal_to_Real,'Calc|CPI Indexes'!Q$31:Q$42),INDEX('Calc|CPI Indexes'!$C$14:$T$27,MATCH($F42,'Calc|CPI Indexes'!$C$14:$C$27,0),MATCH($F43,'Calc|CPI Indexes'!$C$14:$T$14,0)))</f>
        <v>0</v>
      </c>
      <c r="Q43" s="110">
        <f>Q42*IF($F42="nominal",LOOKUP($F43,'Lookup|Tables'!Nominal_to_Real,'Calc|CPI Indexes'!R$31:R$42),INDEX('Calc|CPI Indexes'!$C$14:$T$27,MATCH($F42,'Calc|CPI Indexes'!$C$14:$C$27,0),MATCH($F43,'Calc|CPI Indexes'!$C$14:$T$14,0)))</f>
        <v>0</v>
      </c>
      <c r="R43" s="110">
        <f>R42*IF($F42="nominal",LOOKUP($F43,'Lookup|Tables'!Nominal_to_Real,'Calc|CPI Indexes'!S$31:S$42),INDEX('Calc|CPI Indexes'!$C$14:$T$27,MATCH($F42,'Calc|CPI Indexes'!$C$14:$C$27,0),MATCH($F43,'Calc|CPI Indexes'!$C$14:$T$14,0)))</f>
        <v>0</v>
      </c>
      <c r="S43" s="110">
        <f>S42*IF($F42="nominal",LOOKUP($F43,'Lookup|Tables'!Nominal_to_Real,'Calc|CPI Indexes'!T$31:T$42),INDEX('Calc|CPI Indexes'!$C$14:$T$27,MATCH($F42,'Calc|CPI Indexes'!$C$14:$C$27,0),MATCH($F43,'Calc|CPI Indexes'!$C$14:$T$14,0)))</f>
        <v>0</v>
      </c>
    </row>
    <row r="44" spans="1:30" x14ac:dyDescent="0.2">
      <c r="C44" s="54"/>
      <c r="D44" s="63"/>
      <c r="E44" s="63"/>
      <c r="F44" s="108"/>
      <c r="G44" s="63"/>
      <c r="H44" s="63"/>
      <c r="I44" s="63"/>
      <c r="J44" s="73"/>
      <c r="K44" s="73"/>
      <c r="L44" s="73"/>
      <c r="M44" s="73"/>
      <c r="N44" s="73"/>
      <c r="O44" s="78"/>
      <c r="P44" s="78"/>
      <c r="Q44" s="78"/>
      <c r="R44" s="78"/>
      <c r="S44" s="78"/>
    </row>
    <row r="45" spans="1:30" x14ac:dyDescent="0.2">
      <c r="C45" s="54"/>
      <c r="D45" s="63"/>
      <c r="E45" s="63"/>
      <c r="F45" s="63"/>
      <c r="G45" s="63"/>
      <c r="H45" s="63"/>
      <c r="I45" s="63"/>
      <c r="J45" s="63"/>
      <c r="K45" s="63"/>
      <c r="L45" s="63"/>
      <c r="M45" s="63"/>
      <c r="N45" s="107"/>
      <c r="O45" s="107"/>
      <c r="P45" s="107"/>
      <c r="Q45" s="107"/>
      <c r="R45" s="107"/>
      <c r="S45" s="107"/>
    </row>
    <row r="46" spans="1:30" s="19" customFormat="1" ht="13" x14ac:dyDescent="0.3">
      <c r="A46" s="12"/>
      <c r="B46" s="13" t="s">
        <v>41</v>
      </c>
      <c r="C46" s="12"/>
      <c r="D46" s="12"/>
      <c r="E46" s="12"/>
      <c r="F46" s="14"/>
      <c r="G46" s="14"/>
      <c r="H46" s="14"/>
      <c r="I46" s="14"/>
      <c r="J46" s="15"/>
      <c r="K46" s="16"/>
      <c r="L46" s="15"/>
      <c r="M46" s="16"/>
      <c r="N46" s="15"/>
      <c r="O46" s="15"/>
      <c r="P46" s="15"/>
      <c r="Q46" s="15"/>
      <c r="R46" s="15"/>
      <c r="S46" s="15"/>
      <c r="T46" s="15"/>
      <c r="U46" s="15"/>
      <c r="V46" s="16"/>
      <c r="W46" s="16"/>
      <c r="X46" s="17"/>
      <c r="Y46" s="17"/>
      <c r="Z46" s="17"/>
      <c r="AA46" s="17"/>
      <c r="AB46" s="17"/>
      <c r="AC46" s="18"/>
      <c r="AD46" s="18"/>
    </row>
  </sheetData>
  <mergeCells count="1">
    <mergeCell ref="N3:S3"/>
  </mergeCells>
  <conditionalFormatting sqref="O17:S17">
    <cfRule type="expression" dxfId="19" priority="5">
      <formula>O$10=O$4</formula>
    </cfRule>
  </conditionalFormatting>
  <conditionalFormatting sqref="O24:S24">
    <cfRule type="expression" dxfId="18" priority="4">
      <formula>O$10=O$4</formula>
    </cfRule>
  </conditionalFormatting>
  <conditionalFormatting sqref="O33:S33">
    <cfRule type="expression" dxfId="17" priority="2">
      <formula>O$10=O$4</formula>
    </cfRule>
  </conditionalFormatting>
  <conditionalFormatting sqref="O41:S41">
    <cfRule type="expression" dxfId="16" priority="1">
      <formula>O$10=O$4</formula>
    </cfRule>
  </conditionalFormatting>
  <dataValidations count="2">
    <dataValidation type="list" allowBlank="1" showInputMessage="1" showErrorMessage="1" sqref="F19 F12" xr:uid="{3F86F302-CE1F-43EA-BB16-3F6A0C771272}">
      <formula1>$F$42:$F$43</formula1>
    </dataValidation>
    <dataValidation type="list" allowBlank="1" showInputMessage="1" showErrorMessage="1" sqref="F45" xr:uid="{7C572065-EBB3-423B-9367-E2B3D74DA804}">
      <formula1>"Real 2010,Real 2011,Real 2012,Real 2013,Real 2014,Real 2015,Nominal"</formula1>
    </dataValidation>
  </dataValidations>
  <pageMargins left="0.7" right="0.7" top="0.75" bottom="0.75" header="0.3" footer="0.3"/>
  <pageSetup paperSize="9" orientation="portrait" verticalDpi="4" r:id="rId1"/>
  <headerFooter>
    <oddFooter>&amp;L&amp;1#&amp;"Calibri"&amp;8&amp;K000000For Official use only</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4AF195E8-BB9F-42FE-9E30-204AFBAEE0F0}">
          <x14:formula1>
            <xm:f>'Lookup|Tables'!$G$81:$G$84</xm:f>
          </x14:formula1>
          <xm:sqref>F34:F36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B0785-26B3-4279-8D46-895AA9D5F6AF}">
  <sheetPr codeName="Sheet12">
    <tabColor rgb="FFCCFFCC"/>
  </sheetPr>
  <dimension ref="A1:AF201"/>
  <sheetViews>
    <sheetView showGridLines="0" zoomScale="118" zoomScaleNormal="118" workbookViewId="0">
      <selection activeCell="B1" sqref="B1"/>
    </sheetView>
  </sheetViews>
  <sheetFormatPr defaultColWidth="0" defaultRowHeight="10" zeroHeight="1" x14ac:dyDescent="0.2"/>
  <cols>
    <col min="1" max="2" width="1.1796875" style="20" customWidth="1"/>
    <col min="3" max="3" width="62.54296875" style="20" bestFit="1" customWidth="1"/>
    <col min="4" max="4" width="22.54296875" style="21" customWidth="1"/>
    <col min="5" max="5" width="12.81640625" style="21" customWidth="1"/>
    <col min="6" max="6" width="8.81640625" style="21" customWidth="1"/>
    <col min="7" max="7" width="4.54296875" style="21" customWidth="1"/>
    <col min="8" max="8" width="2.81640625" style="21" customWidth="1"/>
    <col min="9" max="9" width="8.1796875" style="21" customWidth="1"/>
    <col min="10" max="19" width="8.81640625" style="20" customWidth="1"/>
    <col min="20" max="20" width="9.1796875" style="20" bestFit="1" customWidth="1"/>
    <col min="21" max="25" width="8.81640625" style="20" customWidth="1"/>
    <col min="26" max="40" width="8.54296875" style="20" hidden="1" customWidth="1"/>
    <col min="41" max="16384" width="8.54296875" style="20" hidden="1"/>
  </cols>
  <sheetData>
    <row r="1" spans="1:32" s="1" customFormat="1" ht="15.5" x14ac:dyDescent="0.35">
      <c r="B1" s="2" t="s">
        <v>42</v>
      </c>
      <c r="C1" s="2"/>
      <c r="D1" s="2"/>
      <c r="E1" s="2"/>
      <c r="F1" s="2"/>
      <c r="G1" s="2"/>
      <c r="H1" s="2"/>
      <c r="I1" s="2"/>
      <c r="J1" s="2"/>
      <c r="K1" s="2"/>
      <c r="L1" s="95" t="s">
        <v>58</v>
      </c>
      <c r="M1" s="96" t="s">
        <v>59</v>
      </c>
      <c r="N1" s="97" t="s">
        <v>61</v>
      </c>
      <c r="O1" s="2"/>
      <c r="P1" s="2"/>
      <c r="Q1" s="2"/>
      <c r="R1" s="2"/>
      <c r="S1" s="2"/>
      <c r="T1" s="2"/>
      <c r="U1" s="2"/>
      <c r="V1" s="2"/>
      <c r="W1" s="2"/>
      <c r="X1" s="2"/>
      <c r="Y1" s="2"/>
    </row>
    <row r="2" spans="1:32" s="7" customFormat="1" ht="13.5" thickBot="1" x14ac:dyDescent="0.35">
      <c r="B2" s="8" t="s">
        <v>210</v>
      </c>
      <c r="C2" s="8"/>
      <c r="D2" s="8"/>
      <c r="E2" s="8"/>
      <c r="F2" s="9"/>
      <c r="G2" s="9"/>
      <c r="H2" s="9"/>
      <c r="I2" s="9"/>
    </row>
    <row r="3" spans="1:32" s="38" customFormat="1" ht="14.75" customHeight="1" x14ac:dyDescent="0.25">
      <c r="D3" s="39"/>
      <c r="E3" s="39"/>
      <c r="F3" s="39"/>
      <c r="G3" s="39"/>
      <c r="H3" s="39"/>
      <c r="I3" s="39"/>
      <c r="J3" s="64" t="s">
        <v>50</v>
      </c>
      <c r="K3" s="64"/>
      <c r="L3" s="64"/>
      <c r="M3" s="39"/>
      <c r="N3" s="202"/>
      <c r="O3" s="202"/>
      <c r="P3" s="202"/>
      <c r="Q3" s="202"/>
      <c r="R3" s="202"/>
      <c r="S3" s="202"/>
      <c r="T3" s="41"/>
      <c r="U3" s="41"/>
      <c r="V3" s="41"/>
      <c r="W3" s="41"/>
      <c r="X3" s="41"/>
      <c r="Y3" s="41"/>
      <c r="Z3" s="41"/>
      <c r="AA3" s="41"/>
      <c r="AB3" s="41"/>
    </row>
    <row r="4" spans="1:32" s="19" customFormat="1" x14ac:dyDescent="0.2">
      <c r="A4" s="42"/>
      <c r="B4" s="42"/>
      <c r="C4" s="42"/>
      <c r="D4" s="43" t="s">
        <v>45</v>
      </c>
      <c r="E4" s="43" t="s">
        <v>72</v>
      </c>
      <c r="F4" s="44" t="s">
        <v>78</v>
      </c>
      <c r="G4" s="45"/>
      <c r="H4" s="45"/>
      <c r="I4" s="46">
        <f>DATE(PPFirstYear-1,MONTH('Input|General'!$G$9),1)</f>
        <v>43617</v>
      </c>
      <c r="J4" s="46">
        <f>DATE(PPFirstYear,MONTH('Input|General'!$G$9),1)</f>
        <v>43983</v>
      </c>
      <c r="K4" s="46">
        <f>DATE(PPFirstYear+1,MONTH('Input|General'!$G$9),1)</f>
        <v>44348</v>
      </c>
      <c r="L4" s="46">
        <f>DATE(PPFirstYear+2,MONTH('Input|General'!$G$9),1)</f>
        <v>44713</v>
      </c>
      <c r="M4" s="46">
        <f>DATE(PPFirstYear+3,MONTH('Input|General'!$G$9),1)</f>
        <v>45078</v>
      </c>
      <c r="N4" s="46">
        <f>DATE(PPFirstYear+4,MONTH('Input|General'!$G$9),1)</f>
        <v>45444</v>
      </c>
      <c r="O4" s="46">
        <f>DATE(PPFirstYear+5,MONTH('Input|General'!$G$9),1)</f>
        <v>45809</v>
      </c>
      <c r="P4" s="46">
        <f>DATE(PPFirstYear+6,MONTH('Input|General'!$G$9),1)</f>
        <v>46174</v>
      </c>
      <c r="Q4" s="46">
        <f>DATE(PPFirstYear+7,MONTH('Input|General'!$G$9),1)</f>
        <v>46539</v>
      </c>
      <c r="R4" s="46">
        <f>DATE(PPFirstYear+8,MONTH('Input|General'!$G$9),1)</f>
        <v>46905</v>
      </c>
      <c r="S4" s="46">
        <f>DATE(PPFirstYear+9,MONTH('Input|General'!$G$9),1)</f>
        <v>47270</v>
      </c>
      <c r="T4" s="47"/>
      <c r="U4" s="47"/>
      <c r="V4" s="48"/>
      <c r="W4" s="48"/>
      <c r="X4" s="48"/>
      <c r="Y4" s="48"/>
    </row>
    <row r="5" spans="1:32" s="10" customFormat="1" ht="3" customHeight="1" x14ac:dyDescent="0.2">
      <c r="D5" s="11"/>
      <c r="E5" s="11"/>
      <c r="F5" s="11"/>
      <c r="G5" s="11"/>
      <c r="H5" s="11"/>
      <c r="I5" s="11"/>
    </row>
    <row r="6" spans="1:32" s="10" customFormat="1" x14ac:dyDescent="0.2">
      <c r="D6" s="11"/>
      <c r="E6" s="11"/>
      <c r="F6" s="11"/>
      <c r="G6" s="11"/>
      <c r="H6" s="11"/>
      <c r="I6" s="11"/>
    </row>
    <row r="7" spans="1:32" s="10" customFormat="1" ht="3" customHeight="1" x14ac:dyDescent="0.2">
      <c r="D7" s="11"/>
      <c r="E7" s="11"/>
      <c r="F7" s="11"/>
      <c r="G7" s="11"/>
      <c r="H7" s="11"/>
      <c r="I7" s="11"/>
    </row>
    <row r="8" spans="1:32" s="19" customFormat="1" ht="13" x14ac:dyDescent="0.3">
      <c r="A8" s="12"/>
      <c r="B8" s="13" t="s">
        <v>211</v>
      </c>
      <c r="C8" s="12"/>
      <c r="D8" s="12"/>
      <c r="E8" s="65" t="s">
        <v>87</v>
      </c>
      <c r="F8" s="81">
        <v>45444</v>
      </c>
      <c r="G8" s="14"/>
      <c r="H8" s="14"/>
      <c r="I8" s="14"/>
      <c r="J8" s="15"/>
      <c r="K8" s="16"/>
      <c r="L8" s="15"/>
      <c r="M8" s="16"/>
      <c r="N8" s="15"/>
      <c r="O8" s="15"/>
      <c r="P8" s="15"/>
      <c r="Q8" s="15"/>
      <c r="R8" s="15"/>
      <c r="S8" s="15"/>
      <c r="T8" s="15"/>
      <c r="U8" s="15"/>
      <c r="V8" s="16"/>
      <c r="W8" s="16"/>
      <c r="X8" s="16"/>
      <c r="Y8" s="16"/>
      <c r="Z8" s="17"/>
      <c r="AA8" s="17"/>
      <c r="AB8" s="17"/>
      <c r="AC8" s="17"/>
      <c r="AD8" s="17"/>
      <c r="AE8" s="18"/>
      <c r="AF8" s="18"/>
    </row>
    <row r="9" spans="1:32" x14ac:dyDescent="0.2"/>
    <row r="10" spans="1:32" ht="10.5" x14ac:dyDescent="0.25">
      <c r="C10" s="29" t="s">
        <v>212</v>
      </c>
      <c r="D10" s="23" t="s">
        <v>45</v>
      </c>
      <c r="E10" s="23" t="s">
        <v>72</v>
      </c>
      <c r="F10" s="23" t="s">
        <v>78</v>
      </c>
      <c r="J10" s="61"/>
      <c r="K10" s="61"/>
      <c r="L10" s="61"/>
      <c r="M10" s="61">
        <f t="shared" ref="M10" si="0">IF(YEAR(M$4)&lt;=PPLastYear,M$4,"")</f>
        <v>45078</v>
      </c>
      <c r="N10" s="61"/>
      <c r="O10" s="61"/>
      <c r="P10" s="61"/>
      <c r="Q10" s="61"/>
      <c r="R10" s="61"/>
      <c r="S10" s="61"/>
    </row>
    <row r="11" spans="1:32" x14ac:dyDescent="0.2">
      <c r="C11" s="54"/>
      <c r="J11" s="63"/>
      <c r="K11" s="63"/>
      <c r="L11" s="63"/>
      <c r="M11" s="63"/>
      <c r="N11" s="63"/>
      <c r="O11" s="63"/>
      <c r="P11" s="63"/>
      <c r="Q11" s="63"/>
      <c r="R11" s="63"/>
      <c r="S11" s="63"/>
    </row>
    <row r="12" spans="1:32" x14ac:dyDescent="0.2">
      <c r="C12" s="54" t="s">
        <v>213</v>
      </c>
      <c r="D12" s="21" t="s">
        <v>70</v>
      </c>
      <c r="E12" s="21" t="str">
        <f>$E$8</f>
        <v>$millions</v>
      </c>
      <c r="F12" s="70">
        <f>F151</f>
        <v>45444</v>
      </c>
      <c r="J12" s="69"/>
      <c r="K12" s="69"/>
      <c r="L12" s="69"/>
      <c r="M12" s="78">
        <f>N151</f>
        <v>459.68063084565472</v>
      </c>
      <c r="N12" s="63"/>
      <c r="O12" s="78"/>
      <c r="P12" s="78"/>
      <c r="Q12" s="78"/>
      <c r="R12" s="78"/>
      <c r="S12" s="78"/>
    </row>
    <row r="13" spans="1:32" x14ac:dyDescent="0.2">
      <c r="J13" s="63"/>
      <c r="K13" s="63"/>
      <c r="L13" s="63"/>
    </row>
    <row r="14" spans="1:32" s="19" customFormat="1" ht="13" x14ac:dyDescent="0.3">
      <c r="A14" s="12"/>
      <c r="B14" s="13" t="s">
        <v>214</v>
      </c>
      <c r="C14" s="12"/>
      <c r="D14" s="12"/>
      <c r="E14" s="12"/>
      <c r="F14" s="14"/>
      <c r="G14" s="14"/>
      <c r="H14" s="14"/>
      <c r="I14" s="14"/>
      <c r="J14" s="15"/>
      <c r="K14" s="16"/>
      <c r="L14" s="15"/>
      <c r="M14" s="16"/>
      <c r="N14" s="15"/>
      <c r="O14" s="15"/>
      <c r="P14" s="15"/>
      <c r="Q14" s="15"/>
      <c r="R14" s="15"/>
      <c r="S14" s="15"/>
      <c r="T14" s="15"/>
      <c r="U14" s="15"/>
      <c r="V14" s="16"/>
      <c r="W14" s="16"/>
      <c r="X14" s="16"/>
      <c r="Y14" s="16"/>
      <c r="Z14" s="17"/>
      <c r="AA14" s="17"/>
      <c r="AB14" s="17"/>
      <c r="AC14" s="17"/>
      <c r="AD14" s="17"/>
      <c r="AE14" s="18"/>
      <c r="AF14" s="18"/>
    </row>
    <row r="15" spans="1:32" x14ac:dyDescent="0.2">
      <c r="C15" s="54"/>
      <c r="J15" s="63"/>
      <c r="K15" s="63"/>
      <c r="L15" s="63"/>
    </row>
    <row r="16" spans="1:32" ht="10.5" x14ac:dyDescent="0.25">
      <c r="C16" s="29" t="s">
        <v>215</v>
      </c>
      <c r="D16" s="23" t="s">
        <v>45</v>
      </c>
      <c r="E16" s="23" t="s">
        <v>72</v>
      </c>
      <c r="F16" s="23" t="s">
        <v>78</v>
      </c>
      <c r="J16" s="61"/>
      <c r="K16" s="61"/>
      <c r="L16" s="61"/>
      <c r="M16" s="61">
        <f t="shared" ref="M16" si="1">IF(YEAR(M$4)&lt;=PPLastYear,M$4,"")</f>
        <v>45078</v>
      </c>
      <c r="N16" s="61"/>
      <c r="O16" s="61"/>
      <c r="P16" s="61"/>
      <c r="Q16" s="61"/>
      <c r="R16" s="61"/>
      <c r="S16" s="61"/>
      <c r="T16" s="132"/>
    </row>
    <row r="17" spans="1:32" ht="10.5" x14ac:dyDescent="0.25">
      <c r="C17" s="29"/>
      <c r="J17" s="24"/>
      <c r="K17" s="24"/>
      <c r="L17" s="24"/>
      <c r="M17" s="24"/>
      <c r="N17" s="24"/>
      <c r="O17" s="24"/>
      <c r="P17" s="24"/>
      <c r="Q17" s="24"/>
      <c r="R17" s="24"/>
      <c r="S17" s="24"/>
    </row>
    <row r="18" spans="1:32" x14ac:dyDescent="0.2">
      <c r="C18" s="54" t="s">
        <v>213</v>
      </c>
      <c r="D18" s="21" t="s">
        <v>70</v>
      </c>
      <c r="E18" s="21" t="str">
        <f>$E$8</f>
        <v>$millions</v>
      </c>
      <c r="F18" s="70">
        <f>F155</f>
        <v>45444</v>
      </c>
      <c r="J18" s="73"/>
      <c r="K18" s="73"/>
      <c r="L18" s="73"/>
      <c r="M18" s="78">
        <f>N155</f>
        <v>466.68303159532309</v>
      </c>
      <c r="N18" s="73"/>
      <c r="O18" s="73"/>
      <c r="P18" s="73"/>
      <c r="Q18" s="73"/>
      <c r="R18" s="73"/>
      <c r="S18" s="73"/>
      <c r="T18" s="73"/>
      <c r="U18" s="73"/>
    </row>
    <row r="19" spans="1:32" x14ac:dyDescent="0.2">
      <c r="C19" s="72"/>
      <c r="F19" s="70"/>
      <c r="J19" s="73"/>
      <c r="K19" s="73"/>
      <c r="L19" s="73"/>
      <c r="M19" s="73"/>
      <c r="N19" s="73"/>
      <c r="O19" s="73"/>
      <c r="P19" s="73"/>
      <c r="Q19" s="73"/>
      <c r="R19" s="73"/>
      <c r="S19" s="73"/>
    </row>
    <row r="20" spans="1:32" s="19" customFormat="1" ht="13" x14ac:dyDescent="0.3">
      <c r="A20" s="12"/>
      <c r="B20" s="13" t="s">
        <v>216</v>
      </c>
      <c r="C20" s="12"/>
      <c r="D20" s="12"/>
      <c r="E20" s="12"/>
      <c r="F20" s="14"/>
      <c r="G20" s="14"/>
      <c r="H20" s="14"/>
      <c r="I20" s="14"/>
      <c r="J20" s="15"/>
      <c r="K20" s="16"/>
      <c r="L20" s="15"/>
      <c r="M20" s="16"/>
      <c r="N20" s="15"/>
      <c r="O20" s="15"/>
      <c r="P20" s="15"/>
      <c r="Q20" s="15"/>
      <c r="R20" s="15"/>
      <c r="S20" s="15"/>
      <c r="T20" s="15"/>
      <c r="U20" s="15"/>
      <c r="V20" s="16"/>
      <c r="W20" s="16"/>
      <c r="X20" s="16"/>
      <c r="Y20" s="16"/>
      <c r="Z20" s="17"/>
      <c r="AA20" s="17"/>
      <c r="AB20" s="17"/>
      <c r="AC20" s="17"/>
      <c r="AD20" s="17"/>
      <c r="AE20" s="18"/>
      <c r="AF20" s="18"/>
    </row>
    <row r="21" spans="1:32" x14ac:dyDescent="0.2">
      <c r="C21" s="54"/>
      <c r="J21" s="63"/>
      <c r="K21" s="63"/>
      <c r="L21" s="63"/>
    </row>
    <row r="22" spans="1:32" ht="10.5" x14ac:dyDescent="0.25">
      <c r="C22" s="29" t="s">
        <v>217</v>
      </c>
      <c r="D22" s="23" t="s">
        <v>45</v>
      </c>
      <c r="E22" s="23" t="s">
        <v>72</v>
      </c>
      <c r="F22" s="23" t="s">
        <v>78</v>
      </c>
      <c r="J22" s="61"/>
      <c r="K22" s="61"/>
      <c r="L22" s="61"/>
      <c r="M22" s="61">
        <f t="shared" ref="M22" si="2">IF(YEAR(M$4)&lt;=PPLastYear,M$4,"")</f>
        <v>45078</v>
      </c>
      <c r="N22" s="61"/>
      <c r="O22" s="61"/>
      <c r="P22" s="61"/>
      <c r="Q22" s="61"/>
      <c r="R22" s="61"/>
      <c r="S22" s="61"/>
      <c r="T22" s="61"/>
      <c r="U22" s="61"/>
    </row>
    <row r="23" spans="1:32" ht="10.5" x14ac:dyDescent="0.25">
      <c r="C23" s="29"/>
      <c r="D23" s="23"/>
      <c r="E23" s="23"/>
      <c r="F23" s="23"/>
      <c r="J23" s="61"/>
      <c r="K23" s="61"/>
      <c r="L23" s="61"/>
      <c r="M23" s="61"/>
      <c r="N23" s="61"/>
      <c r="O23" s="61"/>
      <c r="P23" s="61"/>
      <c r="Q23" s="61"/>
      <c r="R23" s="61"/>
      <c r="S23" s="61"/>
      <c r="T23" s="61"/>
      <c r="U23" s="61"/>
    </row>
    <row r="24" spans="1:32" x14ac:dyDescent="0.2">
      <c r="C24" s="54" t="s">
        <v>218</v>
      </c>
      <c r="D24" s="21" t="s">
        <v>70</v>
      </c>
      <c r="E24" s="21" t="str">
        <f>$E$8</f>
        <v>$millions</v>
      </c>
      <c r="F24" s="70">
        <f>F18</f>
        <v>45444</v>
      </c>
      <c r="J24" s="73"/>
      <c r="K24" s="73"/>
      <c r="L24" s="73"/>
      <c r="M24" s="73">
        <f>M18</f>
        <v>466.68303159532309</v>
      </c>
      <c r="N24" s="73"/>
      <c r="O24" s="73"/>
      <c r="P24" s="73"/>
      <c r="Q24" s="73"/>
      <c r="R24" s="73"/>
      <c r="S24" s="73"/>
      <c r="T24" s="73"/>
      <c r="U24" s="73"/>
    </row>
    <row r="25" spans="1:32" ht="10.5" x14ac:dyDescent="0.25">
      <c r="C25" s="54" t="s">
        <v>219</v>
      </c>
      <c r="D25" s="21" t="s">
        <v>70</v>
      </c>
      <c r="E25" s="21" t="str">
        <f>$E$8</f>
        <v>$millions</v>
      </c>
      <c r="F25" s="70">
        <f>F12</f>
        <v>45444</v>
      </c>
      <c r="J25" s="24"/>
      <c r="K25" s="24"/>
      <c r="L25" s="24"/>
      <c r="M25" s="73">
        <f>M12</f>
        <v>459.68063084565472</v>
      </c>
      <c r="N25" s="24"/>
      <c r="O25" s="24"/>
      <c r="P25" s="24"/>
      <c r="Q25" s="24"/>
      <c r="R25" s="24"/>
      <c r="S25" s="24"/>
      <c r="T25" s="24"/>
      <c r="U25" s="24"/>
    </row>
    <row r="26" spans="1:32" ht="3" customHeight="1" x14ac:dyDescent="0.2">
      <c r="F26" s="105"/>
      <c r="M26" s="100"/>
    </row>
    <row r="27" spans="1:32" ht="10.5" x14ac:dyDescent="0.25">
      <c r="C27" s="74" t="s">
        <v>220</v>
      </c>
      <c r="D27" s="75" t="s">
        <v>70</v>
      </c>
      <c r="E27" s="75" t="str">
        <f>$E$8</f>
        <v>$millions</v>
      </c>
      <c r="F27" s="76">
        <f>F25</f>
        <v>45444</v>
      </c>
      <c r="G27" s="23"/>
      <c r="H27" s="23"/>
      <c r="I27" s="23"/>
      <c r="J27" s="77"/>
      <c r="K27" s="77"/>
      <c r="L27" s="77"/>
      <c r="M27" s="79">
        <f>M24-M25</f>
        <v>7.002400749668368</v>
      </c>
      <c r="N27" s="77"/>
      <c r="O27" s="77"/>
      <c r="P27" s="77"/>
      <c r="Q27" s="77"/>
      <c r="R27" s="77"/>
      <c r="S27" s="77"/>
      <c r="T27" s="77"/>
      <c r="U27" s="77"/>
    </row>
    <row r="28" spans="1:32" ht="10.5" x14ac:dyDescent="0.25">
      <c r="C28" s="106"/>
      <c r="D28" s="23"/>
      <c r="E28" s="23"/>
      <c r="F28" s="76"/>
      <c r="G28" s="23"/>
      <c r="H28" s="23"/>
      <c r="I28" s="23"/>
      <c r="J28" s="77"/>
      <c r="K28" s="77"/>
      <c r="L28" s="77"/>
      <c r="M28" s="77"/>
      <c r="N28" s="77"/>
      <c r="O28" s="79"/>
      <c r="P28" s="79"/>
      <c r="Q28" s="79"/>
      <c r="R28" s="79"/>
      <c r="S28" s="79"/>
    </row>
    <row r="29" spans="1:32" s="19" customFormat="1" ht="13" x14ac:dyDescent="0.3">
      <c r="A29" s="12"/>
      <c r="B29" s="13" t="s">
        <v>221</v>
      </c>
      <c r="C29" s="12"/>
      <c r="D29" s="12"/>
      <c r="E29" s="12"/>
      <c r="F29" s="14"/>
      <c r="G29" s="14"/>
      <c r="H29" s="14"/>
      <c r="I29" s="14"/>
      <c r="J29" s="15"/>
      <c r="K29" s="16"/>
      <c r="L29" s="15"/>
      <c r="M29" s="16"/>
      <c r="N29" s="15"/>
      <c r="O29" s="15"/>
      <c r="P29" s="15"/>
      <c r="Q29" s="15"/>
      <c r="R29" s="15"/>
      <c r="S29" s="15"/>
      <c r="T29" s="15"/>
      <c r="U29" s="15"/>
      <c r="V29" s="16"/>
      <c r="W29" s="16"/>
      <c r="X29" s="16"/>
      <c r="Y29" s="16"/>
      <c r="Z29" s="17"/>
      <c r="AA29" s="17"/>
      <c r="AB29" s="17"/>
      <c r="AC29" s="17"/>
      <c r="AD29" s="17"/>
      <c r="AE29" s="18"/>
      <c r="AF29" s="18"/>
    </row>
    <row r="30" spans="1:32" x14ac:dyDescent="0.2">
      <c r="C30" s="54"/>
      <c r="D30" s="63"/>
      <c r="E30" s="63"/>
      <c r="F30" s="108"/>
      <c r="G30" s="63"/>
      <c r="H30" s="63"/>
      <c r="I30" s="63"/>
      <c r="J30" s="73"/>
      <c r="K30" s="73"/>
      <c r="L30" s="73"/>
      <c r="M30" s="73"/>
      <c r="N30" s="73"/>
      <c r="O30" s="78"/>
      <c r="P30" s="78"/>
      <c r="Q30" s="78"/>
      <c r="R30" s="78"/>
      <c r="S30" s="78"/>
    </row>
    <row r="31" spans="1:32" ht="14.75" customHeight="1" x14ac:dyDescent="0.25">
      <c r="C31" s="29" t="s">
        <v>222</v>
      </c>
      <c r="D31" s="63"/>
      <c r="E31" s="63"/>
      <c r="F31" s="20"/>
      <c r="H31" s="63"/>
      <c r="I31" s="63"/>
      <c r="N31" s="203" t="s">
        <v>223</v>
      </c>
      <c r="O31" s="203"/>
      <c r="P31" s="203"/>
      <c r="R31" s="203" t="s">
        <v>224</v>
      </c>
      <c r="S31" s="203"/>
      <c r="T31" s="203"/>
      <c r="V31" s="203" t="s">
        <v>225</v>
      </c>
      <c r="W31" s="203"/>
      <c r="X31" s="203"/>
      <c r="Y31" s="73"/>
    </row>
    <row r="32" spans="1:32" ht="10.5" x14ac:dyDescent="0.25">
      <c r="C32" s="29"/>
      <c r="D32" s="63"/>
      <c r="E32" s="63"/>
      <c r="F32" s="20"/>
      <c r="H32" s="63"/>
      <c r="I32" s="63"/>
      <c r="N32" s="121" t="s">
        <v>226</v>
      </c>
      <c r="O32" s="121" t="s">
        <v>227</v>
      </c>
      <c r="P32" s="121" t="s">
        <v>161</v>
      </c>
      <c r="R32" s="121" t="s">
        <v>226</v>
      </c>
      <c r="S32" s="121" t="s">
        <v>227</v>
      </c>
      <c r="T32" s="121" t="s">
        <v>161</v>
      </c>
      <c r="V32" s="121" t="s">
        <v>226</v>
      </c>
      <c r="W32" s="121" t="s">
        <v>227</v>
      </c>
      <c r="X32" s="121" t="s">
        <v>161</v>
      </c>
      <c r="Y32" s="73"/>
    </row>
    <row r="33" spans="3:25" x14ac:dyDescent="0.2">
      <c r="C33" s="54" t="s">
        <v>228</v>
      </c>
      <c r="D33" s="147" t="s">
        <v>90</v>
      </c>
      <c r="E33" s="21" t="str">
        <f>$E$8</f>
        <v>$millions</v>
      </c>
      <c r="F33" s="68" t="s">
        <v>107</v>
      </c>
      <c r="G33" s="20"/>
      <c r="H33" s="63"/>
      <c r="N33" s="133">
        <v>219.82650696602184</v>
      </c>
      <c r="O33" s="133">
        <v>149.38081370021257</v>
      </c>
      <c r="P33" s="110">
        <f>N33+O33</f>
        <v>369.20732066623441</v>
      </c>
      <c r="R33" s="133">
        <v>219.82650696602184</v>
      </c>
      <c r="S33" s="133">
        <v>150.45800083177284</v>
      </c>
      <c r="T33" s="110">
        <f>R33+S33</f>
        <v>370.28450779779467</v>
      </c>
      <c r="V33" s="110">
        <f>R33-N33</f>
        <v>0</v>
      </c>
      <c r="W33" s="110">
        <f>S33-O33</f>
        <v>1.0771871315602652</v>
      </c>
      <c r="X33" s="110">
        <f>V33+W33</f>
        <v>1.0771871315602652</v>
      </c>
      <c r="Y33" s="73"/>
    </row>
    <row r="34" spans="3:25" x14ac:dyDescent="0.2">
      <c r="C34" s="54" t="s">
        <v>229</v>
      </c>
      <c r="D34" s="147" t="s">
        <v>90</v>
      </c>
      <c r="E34" s="21" t="str">
        <f>$E$8</f>
        <v>$millions</v>
      </c>
      <c r="F34" s="68" t="s">
        <v>107</v>
      </c>
      <c r="G34" s="20"/>
      <c r="H34" s="63"/>
      <c r="I34" s="63"/>
      <c r="N34" s="133">
        <v>13.48542995397586</v>
      </c>
      <c r="O34" s="133">
        <v>9.1638834980601587</v>
      </c>
      <c r="P34" s="110">
        <f>N34+O34</f>
        <v>22.649313452036019</v>
      </c>
      <c r="R34" s="133">
        <v>13.48542995397586</v>
      </c>
      <c r="S34" s="133">
        <v>11.411835116051321</v>
      </c>
      <c r="T34" s="110">
        <f>R34+S34</f>
        <v>24.897265070027181</v>
      </c>
      <c r="V34" s="110">
        <f>R34-N34</f>
        <v>0</v>
      </c>
      <c r="W34" s="110">
        <f>S34-O34</f>
        <v>2.2479516179911627</v>
      </c>
      <c r="X34" s="110">
        <f>V34+W34</f>
        <v>2.2479516179911627</v>
      </c>
      <c r="Y34" s="73"/>
    </row>
    <row r="35" spans="3:25" ht="10.5" x14ac:dyDescent="0.25">
      <c r="C35" s="54" t="s">
        <v>230</v>
      </c>
      <c r="D35" s="21" t="s">
        <v>70</v>
      </c>
      <c r="E35" s="21" t="str">
        <f>$E$8</f>
        <v>$millions</v>
      </c>
      <c r="F35" s="68" t="s">
        <v>107</v>
      </c>
      <c r="G35" s="20"/>
      <c r="H35" s="63"/>
      <c r="I35" s="63"/>
      <c r="N35" s="110">
        <f t="shared" ref="N35:O35" si="3">N33+N34</f>
        <v>233.31193691999769</v>
      </c>
      <c r="O35" s="110">
        <f t="shared" si="3"/>
        <v>158.54469719827273</v>
      </c>
      <c r="P35" s="121">
        <f>P33+P34</f>
        <v>391.85663411827045</v>
      </c>
      <c r="R35" s="110">
        <f t="shared" ref="R35:S35" si="4">R33+R34</f>
        <v>233.31193691999769</v>
      </c>
      <c r="S35" s="110">
        <f t="shared" si="4"/>
        <v>161.86983594782416</v>
      </c>
      <c r="T35" s="121">
        <f>T33+T34</f>
        <v>395.18177286782185</v>
      </c>
      <c r="V35" s="110">
        <f t="shared" ref="V35:W35" si="5">V33+V34</f>
        <v>0</v>
      </c>
      <c r="W35" s="110">
        <f t="shared" si="5"/>
        <v>3.325138749551428</v>
      </c>
      <c r="X35" s="110">
        <f>X33+X34</f>
        <v>3.325138749551428</v>
      </c>
      <c r="Y35" s="73"/>
    </row>
    <row r="36" spans="3:25" x14ac:dyDescent="0.2">
      <c r="C36" s="54"/>
      <c r="D36" s="54"/>
      <c r="G36" s="20"/>
      <c r="H36" s="63"/>
      <c r="I36" s="63"/>
      <c r="N36" s="110"/>
      <c r="O36" s="110"/>
      <c r="P36" s="110"/>
      <c r="R36" s="110"/>
      <c r="S36" s="110"/>
      <c r="T36" s="110"/>
      <c r="V36" s="110"/>
      <c r="W36" s="110"/>
      <c r="X36" s="110"/>
      <c r="Y36" s="73"/>
    </row>
    <row r="37" spans="3:25" x14ac:dyDescent="0.2">
      <c r="C37" s="54" t="s">
        <v>231</v>
      </c>
      <c r="D37" s="147" t="s">
        <v>90</v>
      </c>
      <c r="E37" s="21" t="str">
        <f>$E$8</f>
        <v>$millions</v>
      </c>
      <c r="F37" s="68" t="s">
        <v>107</v>
      </c>
      <c r="G37" s="20"/>
      <c r="H37" s="63"/>
      <c r="I37" s="63"/>
      <c r="N37" s="133">
        <v>6.1017697399999662</v>
      </c>
      <c r="O37" s="133">
        <v>3.6232782027582844</v>
      </c>
      <c r="P37" s="110">
        <f t="shared" ref="P37:P40" si="6">N37+O37</f>
        <v>9.7250479427582501</v>
      </c>
      <c r="R37" s="133">
        <v>6.1017697399999662</v>
      </c>
      <c r="S37" s="133">
        <v>3.3553116154483886</v>
      </c>
      <c r="T37" s="110">
        <f t="shared" ref="T37:T40" si="7">R37+S37</f>
        <v>9.4570813554483557</v>
      </c>
      <c r="V37" s="110">
        <f t="shared" ref="V37:W40" si="8">R37-N37</f>
        <v>0</v>
      </c>
      <c r="W37" s="110">
        <f t="shared" si="8"/>
        <v>-0.26796658730989575</v>
      </c>
      <c r="X37" s="110">
        <f t="shared" ref="X37:X40" si="9">V37+W37</f>
        <v>-0.26796658730989575</v>
      </c>
      <c r="Y37" s="73"/>
    </row>
    <row r="38" spans="3:25" x14ac:dyDescent="0.2">
      <c r="C38" s="54" t="s">
        <v>232</v>
      </c>
      <c r="D38" s="147" t="s">
        <v>90</v>
      </c>
      <c r="E38" s="21" t="str">
        <f>$E$8</f>
        <v>$millions</v>
      </c>
      <c r="F38" s="68" t="s">
        <v>107</v>
      </c>
      <c r="G38" s="20"/>
      <c r="H38" s="63"/>
      <c r="I38" s="63"/>
      <c r="N38" s="133">
        <v>20.299924939999968</v>
      </c>
      <c r="O38" s="133">
        <v>1.4919805577551504</v>
      </c>
      <c r="P38" s="110">
        <f t="shared" si="6"/>
        <v>21.791905497755117</v>
      </c>
      <c r="R38" s="133">
        <v>20.299924939999968</v>
      </c>
      <c r="S38" s="133">
        <v>4.5760030418558912</v>
      </c>
      <c r="T38" s="110">
        <f t="shared" si="7"/>
        <v>24.87592798185586</v>
      </c>
      <c r="V38" s="110">
        <f t="shared" si="8"/>
        <v>0</v>
      </c>
      <c r="W38" s="110">
        <f t="shared" si="8"/>
        <v>3.0840224841007409</v>
      </c>
      <c r="X38" s="110">
        <f t="shared" si="9"/>
        <v>3.0840224841007409</v>
      </c>
      <c r="Y38" s="73"/>
    </row>
    <row r="39" spans="3:25" x14ac:dyDescent="0.2">
      <c r="C39" s="54" t="s">
        <v>233</v>
      </c>
      <c r="D39" s="147" t="s">
        <v>90</v>
      </c>
      <c r="E39" s="21" t="str">
        <f>$E$8</f>
        <v>$millions</v>
      </c>
      <c r="F39" s="68" t="s">
        <v>107</v>
      </c>
      <c r="G39" s="20"/>
      <c r="H39" s="63"/>
      <c r="I39" s="63"/>
      <c r="N39" s="133">
        <v>11.392263339999978</v>
      </c>
      <c r="O39" s="133">
        <v>0.52681369287012847</v>
      </c>
      <c r="P39" s="110">
        <f t="shared" si="6"/>
        <v>11.919077032870106</v>
      </c>
      <c r="R39" s="133">
        <v>11.392263339999978</v>
      </c>
      <c r="S39" s="133">
        <v>1.3381603391465826</v>
      </c>
      <c r="T39" s="110">
        <f t="shared" si="7"/>
        <v>12.730423679146561</v>
      </c>
      <c r="V39" s="110">
        <f t="shared" si="8"/>
        <v>0</v>
      </c>
      <c r="W39" s="110">
        <f t="shared" si="8"/>
        <v>0.81134664627645414</v>
      </c>
      <c r="X39" s="110">
        <f t="shared" si="9"/>
        <v>0.81134664627645414</v>
      </c>
      <c r="Y39" s="73"/>
    </row>
    <row r="40" spans="3:25" x14ac:dyDescent="0.2">
      <c r="C40" s="54" t="s">
        <v>234</v>
      </c>
      <c r="D40" s="147" t="s">
        <v>90</v>
      </c>
      <c r="E40" s="21" t="str">
        <f>$E$8</f>
        <v>$millions</v>
      </c>
      <c r="F40" s="68" t="s">
        <v>107</v>
      </c>
      <c r="G40" s="20"/>
      <c r="H40" s="63"/>
      <c r="I40" s="63"/>
      <c r="N40" s="133">
        <v>48.011616470000014</v>
      </c>
      <c r="O40" s="133">
        <v>10.468044156776331</v>
      </c>
      <c r="P40" s="110">
        <f t="shared" si="6"/>
        <v>58.479660626776344</v>
      </c>
      <c r="R40" s="133">
        <v>48.011616470000014</v>
      </c>
      <c r="S40" s="133">
        <v>4.5530954685574496</v>
      </c>
      <c r="T40" s="110">
        <f t="shared" si="7"/>
        <v>52.564711938557465</v>
      </c>
      <c r="V40" s="110">
        <f t="shared" si="8"/>
        <v>0</v>
      </c>
      <c r="W40" s="110">
        <f t="shared" si="8"/>
        <v>-5.9149486882188818</v>
      </c>
      <c r="X40" s="110">
        <f t="shared" si="9"/>
        <v>-5.9149486882188818</v>
      </c>
      <c r="Y40" s="73"/>
    </row>
    <row r="41" spans="3:25" x14ac:dyDescent="0.2">
      <c r="C41" s="54" t="s">
        <v>235</v>
      </c>
      <c r="D41" s="21" t="s">
        <v>70</v>
      </c>
      <c r="E41" s="21" t="str">
        <f>$E$8</f>
        <v>$millions</v>
      </c>
      <c r="F41" s="68" t="s">
        <v>107</v>
      </c>
      <c r="G41" s="20"/>
      <c r="H41" s="63"/>
      <c r="I41" s="63"/>
      <c r="N41" s="110">
        <f>SUM(N37:N40)</f>
        <v>85.805574489999927</v>
      </c>
      <c r="O41" s="110">
        <f t="shared" ref="O41:P41" si="10">SUM(O37:O40)</f>
        <v>16.110116610159892</v>
      </c>
      <c r="P41" s="110">
        <f t="shared" si="10"/>
        <v>101.91569110015982</v>
      </c>
      <c r="R41" s="110">
        <f>SUM(R37:R40)</f>
        <v>85.805574489999927</v>
      </c>
      <c r="S41" s="110">
        <f>SUM(S37:S40)</f>
        <v>13.822570465008312</v>
      </c>
      <c r="T41" s="110">
        <f>SUM(T37:T40)</f>
        <v>99.628144955008253</v>
      </c>
      <c r="V41" s="110">
        <f t="shared" ref="V41:X41" si="11">SUM(V37:V40)</f>
        <v>0</v>
      </c>
      <c r="W41" s="110">
        <f t="shared" si="11"/>
        <v>-2.2875461451515826</v>
      </c>
      <c r="X41" s="110">
        <f t="shared" si="11"/>
        <v>-2.2875461451515826</v>
      </c>
      <c r="Y41" s="73"/>
    </row>
    <row r="42" spans="3:25" x14ac:dyDescent="0.2">
      <c r="C42" s="54"/>
      <c r="D42" s="67"/>
      <c r="G42" s="20"/>
      <c r="H42" s="63"/>
      <c r="I42" s="63"/>
      <c r="N42" s="110"/>
      <c r="O42" s="110"/>
      <c r="P42" s="110"/>
      <c r="R42" s="110"/>
      <c r="S42" s="110"/>
      <c r="T42" s="110"/>
      <c r="V42" s="110"/>
      <c r="W42" s="110"/>
      <c r="X42" s="110"/>
      <c r="Y42" s="73"/>
    </row>
    <row r="43" spans="3:25" x14ac:dyDescent="0.2">
      <c r="C43" s="54" t="s">
        <v>236</v>
      </c>
      <c r="D43" s="147" t="s">
        <v>90</v>
      </c>
      <c r="E43" s="21" t="str">
        <f>$E$8</f>
        <v>$millions</v>
      </c>
      <c r="F43" s="68" t="s">
        <v>107</v>
      </c>
      <c r="G43" s="20"/>
      <c r="H43" s="63"/>
      <c r="I43" s="63"/>
      <c r="N43" s="133">
        <v>3.3335271899991197</v>
      </c>
      <c r="O43" s="133">
        <v>1.2437977132166347</v>
      </c>
      <c r="P43" s="110">
        <f t="shared" ref="P43:P44" si="12">N43+O43</f>
        <v>4.5773249032157546</v>
      </c>
      <c r="R43" s="133">
        <v>3.3335271899991197</v>
      </c>
      <c r="S43" s="133">
        <v>2.1198160433071735</v>
      </c>
      <c r="T43" s="110">
        <f t="shared" ref="T43:T44" si="13">R43+S43</f>
        <v>5.4533432333062937</v>
      </c>
      <c r="V43" s="110">
        <f t="shared" ref="V43:W45" si="14">R43-N43</f>
        <v>0</v>
      </c>
      <c r="W43" s="110">
        <f t="shared" si="14"/>
        <v>0.87601833009053887</v>
      </c>
      <c r="X43" s="110">
        <f t="shared" ref="X43:X44" si="15">V43+W43</f>
        <v>0.87601833009053887</v>
      </c>
      <c r="Y43" s="73"/>
    </row>
    <row r="44" spans="3:25" x14ac:dyDescent="0.2">
      <c r="C44" s="54" t="s">
        <v>237</v>
      </c>
      <c r="D44" s="147" t="s">
        <v>90</v>
      </c>
      <c r="E44" s="21" t="str">
        <f>$E$8</f>
        <v>$millions</v>
      </c>
      <c r="F44" s="68" t="s">
        <v>107</v>
      </c>
      <c r="G44" s="20"/>
      <c r="H44" s="63"/>
      <c r="I44" s="63"/>
      <c r="N44" s="133">
        <v>46.568222009999985</v>
      </c>
      <c r="O44" s="133">
        <v>4.8671291328483051</v>
      </c>
      <c r="P44" s="110">
        <f t="shared" si="12"/>
        <v>51.43535114284829</v>
      </c>
      <c r="R44" s="133">
        <v>46.568222009999985</v>
      </c>
      <c r="S44" s="133">
        <v>2.9535181983578722</v>
      </c>
      <c r="T44" s="110">
        <f t="shared" si="13"/>
        <v>49.521740208357855</v>
      </c>
      <c r="V44" s="110">
        <f t="shared" si="14"/>
        <v>0</v>
      </c>
      <c r="W44" s="110">
        <f t="shared" si="14"/>
        <v>-1.9136109344904328</v>
      </c>
      <c r="X44" s="110">
        <f t="shared" si="15"/>
        <v>-1.9136109344904328</v>
      </c>
      <c r="Y44" s="73"/>
    </row>
    <row r="45" spans="3:25" x14ac:dyDescent="0.2">
      <c r="C45" s="54" t="s">
        <v>238</v>
      </c>
      <c r="D45" s="21" t="s">
        <v>70</v>
      </c>
      <c r="E45" s="21" t="str">
        <f>$E$8</f>
        <v>$millions</v>
      </c>
      <c r="F45" s="68" t="s">
        <v>107</v>
      </c>
      <c r="G45" s="20"/>
      <c r="H45" s="63"/>
      <c r="I45" s="63"/>
      <c r="N45" s="110">
        <f t="shared" ref="N45:O45" si="16">N43+N44</f>
        <v>49.901749199999102</v>
      </c>
      <c r="O45" s="110">
        <f t="shared" si="16"/>
        <v>6.11092684606494</v>
      </c>
      <c r="P45" s="110">
        <f>P43+P44</f>
        <v>56.012676046064044</v>
      </c>
      <c r="R45" s="110">
        <f t="shared" ref="R45:S45" si="17">R43+R44</f>
        <v>49.901749199999102</v>
      </c>
      <c r="S45" s="110">
        <f t="shared" si="17"/>
        <v>5.0733342416650462</v>
      </c>
      <c r="T45" s="110">
        <f>T43+T44</f>
        <v>54.975083441664147</v>
      </c>
      <c r="V45" s="110">
        <f t="shared" si="14"/>
        <v>0</v>
      </c>
      <c r="W45" s="110">
        <f t="shared" si="14"/>
        <v>-1.0375926043998938</v>
      </c>
      <c r="X45" s="110">
        <f>X43+X44</f>
        <v>-1.037592604399894</v>
      </c>
      <c r="Y45" s="73"/>
    </row>
    <row r="46" spans="3:25" x14ac:dyDescent="0.2">
      <c r="C46" s="54"/>
      <c r="F46" s="108"/>
      <c r="G46" s="63"/>
      <c r="H46" s="63"/>
      <c r="I46" s="63"/>
      <c r="N46" s="110"/>
      <c r="O46" s="110"/>
      <c r="P46" s="110"/>
      <c r="R46" s="110"/>
      <c r="S46" s="110"/>
      <c r="T46" s="110"/>
      <c r="V46" s="110"/>
      <c r="W46" s="110"/>
      <c r="X46" s="110"/>
      <c r="Y46" s="73"/>
    </row>
    <row r="47" spans="3:25" x14ac:dyDescent="0.2">
      <c r="C47" s="54" t="s">
        <v>239</v>
      </c>
      <c r="D47" s="21" t="s">
        <v>70</v>
      </c>
      <c r="E47" s="21" t="str">
        <f t="shared" ref="E47" si="18">$E$8</f>
        <v>$millions</v>
      </c>
      <c r="F47" s="68" t="s">
        <v>107</v>
      </c>
      <c r="G47" s="63"/>
      <c r="H47" s="63"/>
      <c r="I47" s="63"/>
      <c r="N47" s="110">
        <f>N35+N41+N45</f>
        <v>369.01926060999676</v>
      </c>
      <c r="O47" s="110">
        <f t="shared" ref="O47:P47" si="19">O35+O41+O45</f>
        <v>180.76574065449753</v>
      </c>
      <c r="P47" s="110">
        <f t="shared" si="19"/>
        <v>549.78500126449433</v>
      </c>
      <c r="R47" s="110">
        <f>R35+R41+R45</f>
        <v>369.01926060999676</v>
      </c>
      <c r="S47" s="110">
        <f>S35+S41+S45</f>
        <v>180.76574065449751</v>
      </c>
      <c r="T47" s="110">
        <f>T35+T41+T45</f>
        <v>549.78500126449433</v>
      </c>
      <c r="V47" s="110">
        <f t="shared" ref="V47:X47" si="20">V35+V41+V45</f>
        <v>0</v>
      </c>
      <c r="W47" s="110">
        <f t="shared" si="20"/>
        <v>-4.8405723873656825E-14</v>
      </c>
      <c r="X47" s="110">
        <f t="shared" si="20"/>
        <v>-4.8627768478581856E-14</v>
      </c>
      <c r="Y47" s="73"/>
    </row>
    <row r="48" spans="3:25" x14ac:dyDescent="0.2">
      <c r="C48" s="54"/>
      <c r="D48" s="67"/>
      <c r="F48" s="108"/>
      <c r="G48" s="63"/>
      <c r="H48" s="63"/>
      <c r="I48" s="63"/>
      <c r="N48" s="110"/>
      <c r="O48" s="110"/>
      <c r="P48" s="110"/>
      <c r="R48" s="110"/>
      <c r="S48" s="110"/>
      <c r="T48" s="110"/>
      <c r="V48" s="110"/>
      <c r="W48" s="110"/>
      <c r="X48" s="110"/>
      <c r="Y48" s="73"/>
    </row>
    <row r="49" spans="3:25" x14ac:dyDescent="0.2">
      <c r="C49" s="54" t="s">
        <v>240</v>
      </c>
      <c r="D49" s="147" t="s">
        <v>90</v>
      </c>
      <c r="E49" s="21" t="str">
        <f>$E$8</f>
        <v>$millions</v>
      </c>
      <c r="F49" s="68" t="s">
        <v>107</v>
      </c>
      <c r="G49" s="63"/>
      <c r="H49" s="63"/>
      <c r="I49" s="63"/>
      <c r="N49" s="133">
        <v>100.27010557000017</v>
      </c>
      <c r="O49" s="133">
        <v>0</v>
      </c>
      <c r="P49" s="110">
        <f t="shared" ref="P49:P50" si="21">N49+O49</f>
        <v>100.27010557000017</v>
      </c>
      <c r="R49" s="133">
        <v>100.27010557000017</v>
      </c>
      <c r="S49" s="133">
        <v>0</v>
      </c>
      <c r="T49" s="110">
        <f t="shared" ref="T49:T50" si="22">R49+S49</f>
        <v>100.27010557000017</v>
      </c>
      <c r="V49" s="110">
        <f t="shared" ref="V49:W50" si="23">R49-N49</f>
        <v>0</v>
      </c>
      <c r="W49" s="110">
        <f t="shared" si="23"/>
        <v>0</v>
      </c>
      <c r="X49" s="110">
        <f t="shared" ref="X49:X50" si="24">V49+W49</f>
        <v>0</v>
      </c>
      <c r="Y49" s="73"/>
    </row>
    <row r="50" spans="3:25" x14ac:dyDescent="0.2">
      <c r="C50" s="54" t="s">
        <v>241</v>
      </c>
      <c r="D50" s="147" t="s">
        <v>90</v>
      </c>
      <c r="E50" s="21" t="str">
        <f>$E$8</f>
        <v>$millions</v>
      </c>
      <c r="F50" s="68" t="s">
        <v>107</v>
      </c>
      <c r="G50" s="63"/>
      <c r="H50" s="63"/>
      <c r="I50" s="63"/>
      <c r="N50" s="133">
        <v>-117.07808924999999</v>
      </c>
      <c r="O50" s="133">
        <v>0</v>
      </c>
      <c r="P50" s="110">
        <f t="shared" si="21"/>
        <v>-117.07808924999999</v>
      </c>
      <c r="R50" s="133">
        <v>-117.07808924999999</v>
      </c>
      <c r="S50" s="133">
        <v>0</v>
      </c>
      <c r="T50" s="110">
        <f t="shared" si="22"/>
        <v>-117.07808924999999</v>
      </c>
      <c r="V50" s="110">
        <f t="shared" si="23"/>
        <v>0</v>
      </c>
      <c r="W50" s="110">
        <f t="shared" si="23"/>
        <v>0</v>
      </c>
      <c r="X50" s="110">
        <f t="shared" si="24"/>
        <v>0</v>
      </c>
      <c r="Y50" s="73"/>
    </row>
    <row r="51" spans="3:25" x14ac:dyDescent="0.2">
      <c r="C51" s="54"/>
      <c r="D51" s="54"/>
      <c r="E51" s="54"/>
      <c r="F51" s="54"/>
      <c r="G51" s="63"/>
      <c r="H51" s="63"/>
      <c r="I51" s="63"/>
      <c r="N51" s="110"/>
      <c r="O51" s="110"/>
      <c r="P51" s="110"/>
      <c r="R51" s="110"/>
      <c r="S51" s="110"/>
      <c r="T51" s="110"/>
      <c r="V51" s="110"/>
      <c r="W51" s="110"/>
      <c r="X51" s="110"/>
      <c r="Y51" s="73"/>
    </row>
    <row r="52" spans="3:25" x14ac:dyDescent="0.2">
      <c r="C52" s="54" t="s">
        <v>242</v>
      </c>
      <c r="D52" s="21" t="s">
        <v>70</v>
      </c>
      <c r="E52" s="21" t="str">
        <f t="shared" ref="E52" si="25">$E$8</f>
        <v>$millions</v>
      </c>
      <c r="F52" s="68" t="s">
        <v>107</v>
      </c>
      <c r="G52" s="63"/>
      <c r="H52" s="63"/>
      <c r="I52" s="63"/>
      <c r="N52" s="110">
        <f>N47+N49+N50</f>
        <v>352.21127692999693</v>
      </c>
      <c r="O52" s="110">
        <f t="shared" ref="O52:P52" si="26">O47+O49+O50</f>
        <v>180.76574065449753</v>
      </c>
      <c r="P52" s="110">
        <f t="shared" si="26"/>
        <v>532.97701758449455</v>
      </c>
      <c r="R52" s="110">
        <f>R47+R49+R50</f>
        <v>352.21127692999693</v>
      </c>
      <c r="S52" s="110">
        <f>S47+S49+S50</f>
        <v>180.76574065449751</v>
      </c>
      <c r="T52" s="110">
        <f>T47+T49+T50</f>
        <v>532.97701758449455</v>
      </c>
      <c r="V52" s="110">
        <f t="shared" ref="V52:X52" si="27">V47+V49+V50</f>
        <v>0</v>
      </c>
      <c r="W52" s="110">
        <f t="shared" si="27"/>
        <v>-4.8405723873656825E-14</v>
      </c>
      <c r="X52" s="110">
        <f t="shared" si="27"/>
        <v>-4.8627768478581856E-14</v>
      </c>
      <c r="Y52" s="73"/>
    </row>
    <row r="53" spans="3:25" x14ac:dyDescent="0.2">
      <c r="C53" s="54"/>
      <c r="G53" s="63"/>
      <c r="H53" s="63"/>
      <c r="I53" s="63"/>
      <c r="N53" s="110"/>
      <c r="O53" s="110"/>
      <c r="P53" s="110"/>
      <c r="R53" s="110"/>
      <c r="S53" s="110"/>
      <c r="T53" s="110"/>
      <c r="V53" s="110"/>
      <c r="W53" s="110"/>
      <c r="X53" s="110"/>
      <c r="Y53" s="73"/>
    </row>
    <row r="54" spans="3:25" ht="10.5" x14ac:dyDescent="0.25">
      <c r="C54" s="29" t="s">
        <v>243</v>
      </c>
      <c r="D54" s="63"/>
      <c r="E54" s="63"/>
      <c r="F54" s="20"/>
      <c r="H54" s="63"/>
      <c r="I54" s="63"/>
      <c r="N54" s="203" t="s">
        <v>244</v>
      </c>
      <c r="O54" s="203"/>
      <c r="P54" s="203"/>
      <c r="R54" s="203" t="s">
        <v>245</v>
      </c>
      <c r="S54" s="203"/>
      <c r="T54" s="203"/>
      <c r="V54" s="203" t="s">
        <v>225</v>
      </c>
      <c r="W54" s="203"/>
      <c r="X54" s="203"/>
      <c r="Y54" s="73"/>
    </row>
    <row r="55" spans="3:25" ht="10.5" x14ac:dyDescent="0.25">
      <c r="C55" s="29"/>
      <c r="D55" s="63"/>
      <c r="E55" s="63"/>
      <c r="F55" s="20"/>
      <c r="H55" s="63"/>
      <c r="I55" s="63"/>
      <c r="N55" s="121" t="s">
        <v>226</v>
      </c>
      <c r="O55" s="121" t="s">
        <v>227</v>
      </c>
      <c r="P55" s="121" t="s">
        <v>161</v>
      </c>
      <c r="R55" s="121" t="s">
        <v>226</v>
      </c>
      <c r="S55" s="121" t="s">
        <v>227</v>
      </c>
      <c r="T55" s="121" t="s">
        <v>161</v>
      </c>
      <c r="V55" s="121" t="s">
        <v>226</v>
      </c>
      <c r="W55" s="121" t="s">
        <v>227</v>
      </c>
      <c r="X55" s="121" t="s">
        <v>161</v>
      </c>
      <c r="Y55" s="73"/>
    </row>
    <row r="56" spans="3:25" x14ac:dyDescent="0.2">
      <c r="C56" s="54" t="s">
        <v>228</v>
      </c>
      <c r="D56" s="147" t="s">
        <v>90</v>
      </c>
      <c r="E56" s="21" t="str">
        <f>$E$8</f>
        <v>$millions</v>
      </c>
      <c r="F56" s="68" t="s">
        <v>107</v>
      </c>
      <c r="G56" s="20"/>
      <c r="H56" s="63"/>
      <c r="N56" s="133">
        <v>205.30142811169463</v>
      </c>
      <c r="O56" s="133">
        <v>120.77954184228179</v>
      </c>
      <c r="P56" s="110">
        <f>N56+O56</f>
        <v>326.08096995397642</v>
      </c>
      <c r="R56" s="133">
        <v>205.30142811169463</v>
      </c>
      <c r="S56" s="133">
        <v>121.70325434288644</v>
      </c>
      <c r="T56" s="110">
        <f>R56+S56</f>
        <v>327.00468245458109</v>
      </c>
      <c r="V56" s="110">
        <f>R56-N56</f>
        <v>0</v>
      </c>
      <c r="W56" s="110">
        <f>S56-O56</f>
        <v>0.92371250060465115</v>
      </c>
      <c r="X56" s="110">
        <f>V56+W56</f>
        <v>0.92371250060465115</v>
      </c>
      <c r="Y56" s="73"/>
    </row>
    <row r="57" spans="3:25" x14ac:dyDescent="0.2">
      <c r="C57" s="54" t="s">
        <v>229</v>
      </c>
      <c r="D57" s="147" t="s">
        <v>90</v>
      </c>
      <c r="E57" s="21" t="str">
        <f>$E$8</f>
        <v>$millions</v>
      </c>
      <c r="F57" s="68" t="s">
        <v>107</v>
      </c>
      <c r="G57" s="20"/>
      <c r="H57" s="63"/>
      <c r="I57" s="63"/>
      <c r="N57" s="133">
        <v>12.594377568303909</v>
      </c>
      <c r="O57" s="133">
        <v>7.4093159822584189</v>
      </c>
      <c r="P57" s="110">
        <f>N57+O57</f>
        <v>20.003693550562328</v>
      </c>
      <c r="R57" s="133">
        <v>12.594377568303909</v>
      </c>
      <c r="S57" s="133">
        <v>9.230864852449816</v>
      </c>
      <c r="T57" s="110">
        <f>R57+S57</f>
        <v>21.825242420753725</v>
      </c>
      <c r="V57" s="110">
        <f>R57-N57</f>
        <v>0</v>
      </c>
      <c r="W57" s="110">
        <f>S57-O57</f>
        <v>1.8215488701913971</v>
      </c>
      <c r="X57" s="110">
        <f>V57+W57</f>
        <v>1.8215488701913971</v>
      </c>
      <c r="Y57" s="73"/>
    </row>
    <row r="58" spans="3:25" ht="10.5" x14ac:dyDescent="0.25">
      <c r="C58" s="54" t="s">
        <v>230</v>
      </c>
      <c r="D58" s="21" t="s">
        <v>70</v>
      </c>
      <c r="E58" s="21" t="str">
        <f>$E$8</f>
        <v>$millions</v>
      </c>
      <c r="F58" s="68" t="s">
        <v>107</v>
      </c>
      <c r="G58" s="20"/>
      <c r="H58" s="63"/>
      <c r="I58" s="63"/>
      <c r="N58" s="110">
        <f t="shared" ref="N58:O58" si="28">N56+N57</f>
        <v>217.89580567999855</v>
      </c>
      <c r="O58" s="110">
        <f t="shared" si="28"/>
        <v>128.18885782454021</v>
      </c>
      <c r="P58" s="121">
        <f>P56+P57</f>
        <v>346.08466350453875</v>
      </c>
      <c r="R58" s="110">
        <f t="shared" ref="R58:S58" si="29">R56+R57</f>
        <v>217.89580567999855</v>
      </c>
      <c r="S58" s="110">
        <f t="shared" si="29"/>
        <v>130.93411919533625</v>
      </c>
      <c r="T58" s="121">
        <f>T56+T57</f>
        <v>348.82992487533483</v>
      </c>
      <c r="V58" s="110">
        <f t="shared" ref="V58:W58" si="30">V56+V57</f>
        <v>0</v>
      </c>
      <c r="W58" s="110">
        <f t="shared" si="30"/>
        <v>2.7452613707960483</v>
      </c>
      <c r="X58" s="110">
        <f>X56+X57</f>
        <v>2.7452613707960483</v>
      </c>
      <c r="Y58" s="73"/>
    </row>
    <row r="59" spans="3:25" x14ac:dyDescent="0.2">
      <c r="C59" s="54"/>
      <c r="D59" s="54"/>
      <c r="G59" s="20"/>
      <c r="H59" s="63"/>
      <c r="I59" s="63"/>
      <c r="N59" s="110"/>
      <c r="O59" s="110"/>
      <c r="P59" s="110"/>
      <c r="R59" s="110"/>
      <c r="S59" s="110"/>
      <c r="T59" s="110"/>
      <c r="V59" s="110"/>
      <c r="W59" s="110"/>
      <c r="X59" s="110"/>
      <c r="Y59" s="73"/>
    </row>
    <row r="60" spans="3:25" x14ac:dyDescent="0.2">
      <c r="C60" s="54" t="s">
        <v>231</v>
      </c>
      <c r="D60" s="147" t="s">
        <v>90</v>
      </c>
      <c r="E60" s="21" t="str">
        <f>$E$8</f>
        <v>$millions</v>
      </c>
      <c r="F60" s="68" t="s">
        <v>107</v>
      </c>
      <c r="G60" s="20"/>
      <c r="H60" s="63"/>
      <c r="I60" s="63"/>
      <c r="N60" s="133">
        <v>7.7495770800000319</v>
      </c>
      <c r="O60" s="133">
        <v>3.5898835486682632</v>
      </c>
      <c r="P60" s="110">
        <f t="shared" ref="P60:P63" si="31">N60+O60</f>
        <v>11.339460628668295</v>
      </c>
      <c r="R60" s="133">
        <v>7.7495770800000319</v>
      </c>
      <c r="S60" s="133">
        <v>2.2646282918438656</v>
      </c>
      <c r="T60" s="110">
        <f t="shared" ref="T60:T63" si="32">R60+S60</f>
        <v>10.014205371843897</v>
      </c>
      <c r="V60" s="110">
        <f t="shared" ref="V60:W63" si="33">R60-N60</f>
        <v>0</v>
      </c>
      <c r="W60" s="110">
        <f t="shared" si="33"/>
        <v>-1.3252552568243976</v>
      </c>
      <c r="X60" s="110">
        <f t="shared" ref="X60:X63" si="34">V60+W60</f>
        <v>-1.3252552568243976</v>
      </c>
      <c r="Y60" s="73"/>
    </row>
    <row r="61" spans="3:25" x14ac:dyDescent="0.2">
      <c r="C61" s="54" t="s">
        <v>232</v>
      </c>
      <c r="D61" s="147" t="s">
        <v>90</v>
      </c>
      <c r="E61" s="21" t="str">
        <f>$E$8</f>
        <v>$millions</v>
      </c>
      <c r="F61" s="68" t="s">
        <v>107</v>
      </c>
      <c r="G61" s="20"/>
      <c r="H61" s="63"/>
      <c r="I61" s="63"/>
      <c r="N61" s="133">
        <v>19.264815719999959</v>
      </c>
      <c r="O61" s="133">
        <v>1.3411994148869255</v>
      </c>
      <c r="P61" s="110">
        <f t="shared" si="31"/>
        <v>20.606015134886885</v>
      </c>
      <c r="R61" s="133">
        <v>19.264815719999959</v>
      </c>
      <c r="S61" s="133">
        <v>3.5983098637320596</v>
      </c>
      <c r="T61" s="110">
        <f t="shared" si="32"/>
        <v>22.863125583732018</v>
      </c>
      <c r="V61" s="110">
        <f t="shared" si="33"/>
        <v>0</v>
      </c>
      <c r="W61" s="110">
        <f t="shared" si="33"/>
        <v>2.2571104488451343</v>
      </c>
      <c r="X61" s="110">
        <f t="shared" si="34"/>
        <v>2.2571104488451343</v>
      </c>
      <c r="Y61" s="73"/>
    </row>
    <row r="62" spans="3:25" x14ac:dyDescent="0.2">
      <c r="C62" s="54" t="s">
        <v>233</v>
      </c>
      <c r="D62" s="147" t="s">
        <v>90</v>
      </c>
      <c r="E62" s="21" t="str">
        <f>$E$8</f>
        <v>$millions</v>
      </c>
      <c r="F62" s="68" t="s">
        <v>107</v>
      </c>
      <c r="G62" s="20"/>
      <c r="H62" s="63"/>
      <c r="I62" s="63"/>
      <c r="N62" s="133">
        <v>9.3585662399999858</v>
      </c>
      <c r="O62" s="133">
        <v>0.42511321769203658</v>
      </c>
      <c r="P62" s="110">
        <f t="shared" si="31"/>
        <v>9.7836794576920223</v>
      </c>
      <c r="R62" s="133">
        <v>9.3585662399999858</v>
      </c>
      <c r="S62" s="133">
        <v>0.88450705701065324</v>
      </c>
      <c r="T62" s="110">
        <f t="shared" si="32"/>
        <v>10.243073297010639</v>
      </c>
      <c r="V62" s="110">
        <f t="shared" si="33"/>
        <v>0</v>
      </c>
      <c r="W62" s="110">
        <f t="shared" si="33"/>
        <v>0.45939383931861666</v>
      </c>
      <c r="X62" s="110">
        <f t="shared" si="34"/>
        <v>0.45939383931861666</v>
      </c>
      <c r="Y62" s="73"/>
    </row>
    <row r="63" spans="3:25" x14ac:dyDescent="0.2">
      <c r="C63" s="54" t="s">
        <v>234</v>
      </c>
      <c r="D63" s="147" t="s">
        <v>90</v>
      </c>
      <c r="E63" s="21" t="str">
        <f>$E$8</f>
        <v>$millions</v>
      </c>
      <c r="F63" s="68" t="s">
        <v>107</v>
      </c>
      <c r="G63" s="20"/>
      <c r="H63" s="63"/>
      <c r="I63" s="63"/>
      <c r="N63" s="133">
        <v>42.813992669999791</v>
      </c>
      <c r="O63" s="133">
        <v>7.0319825831675278</v>
      </c>
      <c r="P63" s="110">
        <f t="shared" si="31"/>
        <v>49.845975253167317</v>
      </c>
      <c r="R63" s="133">
        <v>42.813992669999791</v>
      </c>
      <c r="S63" s="133">
        <v>3.3252289041137115</v>
      </c>
      <c r="T63" s="110">
        <f t="shared" si="32"/>
        <v>46.139221574113506</v>
      </c>
      <c r="V63" s="110">
        <f t="shared" si="33"/>
        <v>0</v>
      </c>
      <c r="W63" s="110">
        <f t="shared" si="33"/>
        <v>-3.7067536790538163</v>
      </c>
      <c r="X63" s="110">
        <f t="shared" si="34"/>
        <v>-3.7067536790538163</v>
      </c>
      <c r="Y63" s="73"/>
    </row>
    <row r="64" spans="3:25" x14ac:dyDescent="0.2">
      <c r="C64" s="54" t="s">
        <v>235</v>
      </c>
      <c r="D64" s="21" t="s">
        <v>70</v>
      </c>
      <c r="E64" s="21" t="str">
        <f>$E$8</f>
        <v>$millions</v>
      </c>
      <c r="F64" s="68" t="s">
        <v>107</v>
      </c>
      <c r="G64" s="20"/>
      <c r="H64" s="63"/>
      <c r="I64" s="63"/>
      <c r="N64" s="110">
        <f>SUM(N60:N63)</f>
        <v>79.186951709999761</v>
      </c>
      <c r="O64" s="110">
        <f t="shared" ref="O64:P64" si="35">SUM(O60:O63)</f>
        <v>12.388178764414754</v>
      </c>
      <c r="P64" s="110">
        <f t="shared" si="35"/>
        <v>91.575130474414522</v>
      </c>
      <c r="R64" s="110">
        <f>SUM(R60:R63)</f>
        <v>79.186951709999761</v>
      </c>
      <c r="S64" s="110">
        <f>SUM(S60:S63)</f>
        <v>10.07267411670029</v>
      </c>
      <c r="T64" s="110">
        <f>SUM(T60:T63)</f>
        <v>89.259625826700059</v>
      </c>
      <c r="V64" s="110">
        <f t="shared" ref="V64:X64" si="36">SUM(V60:V63)</f>
        <v>0</v>
      </c>
      <c r="W64" s="110">
        <f t="shared" si="36"/>
        <v>-2.3155046477144627</v>
      </c>
      <c r="X64" s="110">
        <f t="shared" si="36"/>
        <v>-2.3155046477144627</v>
      </c>
      <c r="Y64" s="73"/>
    </row>
    <row r="65" spans="3:25" x14ac:dyDescent="0.2">
      <c r="C65" s="54"/>
      <c r="D65" s="67"/>
      <c r="G65" s="20"/>
      <c r="H65" s="63"/>
      <c r="I65" s="63"/>
      <c r="N65" s="110"/>
      <c r="O65" s="110"/>
      <c r="P65" s="110"/>
      <c r="R65" s="110"/>
      <c r="S65" s="110"/>
      <c r="T65" s="110"/>
      <c r="V65" s="110"/>
      <c r="W65" s="110"/>
      <c r="X65" s="110"/>
      <c r="Y65" s="73"/>
    </row>
    <row r="66" spans="3:25" x14ac:dyDescent="0.2">
      <c r="C66" s="54" t="s">
        <v>236</v>
      </c>
      <c r="D66" s="147" t="s">
        <v>90</v>
      </c>
      <c r="E66" s="21" t="str">
        <f>$E$8</f>
        <v>$millions</v>
      </c>
      <c r="F66" s="68" t="s">
        <v>107</v>
      </c>
      <c r="G66" s="20"/>
      <c r="H66" s="63"/>
      <c r="I66" s="63"/>
      <c r="N66" s="133">
        <v>6.8592892499997529</v>
      </c>
      <c r="O66" s="133">
        <v>0.78895712158346631</v>
      </c>
      <c r="P66" s="110">
        <f t="shared" ref="P66:P67" si="37">N66+O66</f>
        <v>7.6482463715832196</v>
      </c>
      <c r="R66" s="133">
        <v>6.8592892499997529</v>
      </c>
      <c r="S66" s="133">
        <v>1.692863491354424</v>
      </c>
      <c r="T66" s="110">
        <f t="shared" ref="T66:T67" si="38">R66+S66</f>
        <v>8.5521527413541776</v>
      </c>
      <c r="V66" s="110">
        <f t="shared" ref="V66:W68" si="39">R66-N66</f>
        <v>0</v>
      </c>
      <c r="W66" s="110">
        <f t="shared" si="39"/>
        <v>0.90390636977095773</v>
      </c>
      <c r="X66" s="110">
        <f t="shared" ref="X66:X67" si="40">V66+W66</f>
        <v>0.90390636977095773</v>
      </c>
      <c r="Y66" s="73"/>
    </row>
    <row r="67" spans="3:25" x14ac:dyDescent="0.2">
      <c r="C67" s="54" t="s">
        <v>237</v>
      </c>
      <c r="D67" s="147" t="s">
        <v>90</v>
      </c>
      <c r="E67" s="21" t="str">
        <f>$E$8</f>
        <v>$millions</v>
      </c>
      <c r="F67" s="68" t="s">
        <v>107</v>
      </c>
      <c r="G67" s="20"/>
      <c r="H67" s="63"/>
      <c r="I67" s="63"/>
      <c r="N67" s="133">
        <v>44.82524772999993</v>
      </c>
      <c r="O67" s="133">
        <v>3.6718101394615217</v>
      </c>
      <c r="P67" s="110">
        <f t="shared" si="37"/>
        <v>48.49705786946145</v>
      </c>
      <c r="R67" s="133">
        <v>44.82524772999993</v>
      </c>
      <c r="S67" s="133">
        <v>2.3381470466089764</v>
      </c>
      <c r="T67" s="110">
        <f t="shared" si="38"/>
        <v>47.163394776608904</v>
      </c>
      <c r="V67" s="110">
        <f t="shared" si="39"/>
        <v>0</v>
      </c>
      <c r="W67" s="110">
        <f t="shared" si="39"/>
        <v>-1.3336630928525453</v>
      </c>
      <c r="X67" s="110">
        <f t="shared" si="40"/>
        <v>-1.3336630928525453</v>
      </c>
      <c r="Y67" s="73"/>
    </row>
    <row r="68" spans="3:25" x14ac:dyDescent="0.2">
      <c r="C68" s="54" t="s">
        <v>238</v>
      </c>
      <c r="D68" s="21" t="s">
        <v>70</v>
      </c>
      <c r="E68" s="21" t="str">
        <f>$E$8</f>
        <v>$millions</v>
      </c>
      <c r="F68" s="68" t="s">
        <v>107</v>
      </c>
      <c r="G68" s="20"/>
      <c r="H68" s="63"/>
      <c r="I68" s="63"/>
      <c r="N68" s="110">
        <f t="shared" ref="N68:O68" si="41">N66+N67</f>
        <v>51.684536979999685</v>
      </c>
      <c r="O68" s="110">
        <f t="shared" si="41"/>
        <v>4.460767261044988</v>
      </c>
      <c r="P68" s="110">
        <f>P66+P67</f>
        <v>56.14530424104467</v>
      </c>
      <c r="R68" s="110">
        <f t="shared" ref="R68:S68" si="42">R66+R67</f>
        <v>51.684536979999685</v>
      </c>
      <c r="S68" s="110">
        <f t="shared" si="42"/>
        <v>4.0310105379634003</v>
      </c>
      <c r="T68" s="110">
        <f>T66+T67</f>
        <v>55.715547517963081</v>
      </c>
      <c r="V68" s="110">
        <f t="shared" si="39"/>
        <v>0</v>
      </c>
      <c r="W68" s="110">
        <f t="shared" si="39"/>
        <v>-0.42975672308158774</v>
      </c>
      <c r="X68" s="110">
        <f>X66+X67</f>
        <v>-0.42975672308158752</v>
      </c>
      <c r="Y68" s="73"/>
    </row>
    <row r="69" spans="3:25" x14ac:dyDescent="0.2">
      <c r="C69" s="54"/>
      <c r="F69" s="108"/>
      <c r="G69" s="63"/>
      <c r="H69" s="63"/>
      <c r="I69" s="63"/>
      <c r="N69" s="110"/>
      <c r="O69" s="110"/>
      <c r="P69" s="110"/>
      <c r="R69" s="110"/>
      <c r="S69" s="110"/>
      <c r="T69" s="110"/>
      <c r="V69" s="110"/>
      <c r="W69" s="110"/>
      <c r="X69" s="110"/>
      <c r="Y69" s="73"/>
    </row>
    <row r="70" spans="3:25" x14ac:dyDescent="0.2">
      <c r="C70" s="54" t="s">
        <v>239</v>
      </c>
      <c r="D70" s="21" t="s">
        <v>70</v>
      </c>
      <c r="E70" s="21" t="str">
        <f t="shared" ref="E70" si="43">$E$8</f>
        <v>$millions</v>
      </c>
      <c r="F70" s="68" t="s">
        <v>107</v>
      </c>
      <c r="G70" s="63"/>
      <c r="H70" s="63"/>
      <c r="I70" s="63"/>
      <c r="N70" s="110">
        <f>N58+N64+N68</f>
        <v>348.76729436999796</v>
      </c>
      <c r="O70" s="110">
        <f t="shared" ref="O70:P70" si="44">O58+O64+O68</f>
        <v>145.03780384999996</v>
      </c>
      <c r="P70" s="110">
        <f t="shared" si="44"/>
        <v>493.80509821999794</v>
      </c>
      <c r="R70" s="110">
        <f>R58+R64+R68</f>
        <v>348.76729436999796</v>
      </c>
      <c r="S70" s="110">
        <f>S58+S64+S68</f>
        <v>145.03780384999993</v>
      </c>
      <c r="T70" s="110">
        <f>T58+T64+T68</f>
        <v>493.805098219998</v>
      </c>
      <c r="V70" s="110">
        <f t="shared" ref="V70:X70" si="45">V58+V64+V68</f>
        <v>0</v>
      </c>
      <c r="W70" s="110">
        <f t="shared" si="45"/>
        <v>-2.2204460492503131E-15</v>
      </c>
      <c r="X70" s="110">
        <f t="shared" si="45"/>
        <v>-1.9984014443252818E-15</v>
      </c>
      <c r="Y70" s="73"/>
    </row>
    <row r="71" spans="3:25" x14ac:dyDescent="0.2">
      <c r="C71" s="54"/>
      <c r="D71" s="67"/>
      <c r="F71" s="108"/>
      <c r="G71" s="63"/>
      <c r="H71" s="63"/>
      <c r="I71" s="63"/>
      <c r="N71" s="110"/>
      <c r="O71" s="110"/>
      <c r="P71" s="110"/>
      <c r="R71" s="110"/>
      <c r="S71" s="110"/>
      <c r="T71" s="110"/>
      <c r="V71" s="110"/>
      <c r="W71" s="110"/>
      <c r="X71" s="110"/>
      <c r="Y71" s="73"/>
    </row>
    <row r="72" spans="3:25" x14ac:dyDescent="0.2">
      <c r="C72" s="54" t="s">
        <v>240</v>
      </c>
      <c r="D72" s="147" t="s">
        <v>90</v>
      </c>
      <c r="E72" s="21" t="str">
        <f>$E$8</f>
        <v>$millions</v>
      </c>
      <c r="F72" s="68" t="s">
        <v>107</v>
      </c>
      <c r="G72" s="63"/>
      <c r="H72" s="63"/>
      <c r="I72" s="63"/>
      <c r="N72" s="133">
        <v>82.593427940000566</v>
      </c>
      <c r="O72" s="133">
        <v>0</v>
      </c>
      <c r="P72" s="110">
        <f t="shared" ref="P72:P73" si="46">N72+O72</f>
        <v>82.593427940000566</v>
      </c>
      <c r="R72" s="133">
        <v>82.593427940000566</v>
      </c>
      <c r="S72" s="133">
        <v>0</v>
      </c>
      <c r="T72" s="110">
        <f t="shared" ref="T72:T73" si="47">R72+S72</f>
        <v>82.593427940000566</v>
      </c>
      <c r="V72" s="110">
        <f t="shared" ref="V72:W73" si="48">R72-N72</f>
        <v>0</v>
      </c>
      <c r="W72" s="110">
        <f t="shared" si="48"/>
        <v>0</v>
      </c>
      <c r="X72" s="110">
        <f t="shared" ref="X72:X73" si="49">V72+W72</f>
        <v>0</v>
      </c>
      <c r="Y72" s="73"/>
    </row>
    <row r="73" spans="3:25" x14ac:dyDescent="0.2">
      <c r="C73" s="54" t="s">
        <v>241</v>
      </c>
      <c r="D73" s="147" t="s">
        <v>90</v>
      </c>
      <c r="E73" s="21" t="str">
        <f>$E$8</f>
        <v>$millions</v>
      </c>
      <c r="F73" s="68" t="s">
        <v>107</v>
      </c>
      <c r="G73" s="63"/>
      <c r="H73" s="63"/>
      <c r="I73" s="63"/>
      <c r="N73" s="133">
        <v>-99.988508049999879</v>
      </c>
      <c r="O73" s="133">
        <v>0</v>
      </c>
      <c r="P73" s="110">
        <f t="shared" si="46"/>
        <v>-99.988508049999879</v>
      </c>
      <c r="R73" s="133">
        <v>-99.988508049999879</v>
      </c>
      <c r="S73" s="133">
        <v>0</v>
      </c>
      <c r="T73" s="110">
        <f t="shared" si="47"/>
        <v>-99.988508049999879</v>
      </c>
      <c r="V73" s="110">
        <f t="shared" si="48"/>
        <v>0</v>
      </c>
      <c r="W73" s="110">
        <f t="shared" si="48"/>
        <v>0</v>
      </c>
      <c r="X73" s="110">
        <f t="shared" si="49"/>
        <v>0</v>
      </c>
      <c r="Y73" s="73"/>
    </row>
    <row r="74" spans="3:25" x14ac:dyDescent="0.2">
      <c r="C74" s="54"/>
      <c r="D74" s="54"/>
      <c r="E74" s="54"/>
      <c r="F74" s="54"/>
      <c r="G74" s="63"/>
      <c r="H74" s="63"/>
      <c r="I74" s="63"/>
      <c r="N74" s="110"/>
      <c r="O74" s="110"/>
      <c r="P74" s="110"/>
      <c r="R74" s="110"/>
      <c r="S74" s="110"/>
      <c r="T74" s="110"/>
      <c r="V74" s="110"/>
      <c r="W74" s="110"/>
      <c r="X74" s="110"/>
      <c r="Y74" s="73"/>
    </row>
    <row r="75" spans="3:25" x14ac:dyDescent="0.2">
      <c r="C75" s="54" t="s">
        <v>242</v>
      </c>
      <c r="D75" s="21" t="s">
        <v>70</v>
      </c>
      <c r="E75" s="21" t="str">
        <f t="shared" ref="E75" si="50">$E$8</f>
        <v>$millions</v>
      </c>
      <c r="F75" s="68" t="s">
        <v>107</v>
      </c>
      <c r="G75" s="63"/>
      <c r="H75" s="63"/>
      <c r="I75" s="63"/>
      <c r="N75" s="110">
        <f>N70+N72+N73</f>
        <v>331.37221425999866</v>
      </c>
      <c r="O75" s="110">
        <f t="shared" ref="O75:P75" si="51">O70+O72+O73</f>
        <v>145.03780384999996</v>
      </c>
      <c r="P75" s="110">
        <f t="shared" si="51"/>
        <v>476.41001810999859</v>
      </c>
      <c r="R75" s="110">
        <f>R70+R72+R73</f>
        <v>331.37221425999866</v>
      </c>
      <c r="S75" s="110">
        <f>S70+S72+S73</f>
        <v>145.03780384999993</v>
      </c>
      <c r="T75" s="110">
        <f>T70+T72+T73</f>
        <v>476.4100181099987</v>
      </c>
      <c r="V75" s="110">
        <f t="shared" ref="V75:X75" si="52">V70+V72+V73</f>
        <v>0</v>
      </c>
      <c r="W75" s="110">
        <f t="shared" si="52"/>
        <v>-2.2204460492503131E-15</v>
      </c>
      <c r="X75" s="110">
        <f t="shared" si="52"/>
        <v>-1.9984014443252818E-15</v>
      </c>
      <c r="Y75" s="73"/>
    </row>
    <row r="76" spans="3:25" x14ac:dyDescent="0.2">
      <c r="C76" s="54"/>
      <c r="G76" s="63"/>
      <c r="H76" s="63"/>
      <c r="I76" s="63"/>
      <c r="N76" s="110"/>
      <c r="O76" s="110"/>
      <c r="P76" s="110"/>
      <c r="R76" s="110"/>
      <c r="S76" s="110"/>
      <c r="T76" s="110"/>
      <c r="V76" s="110"/>
      <c r="W76" s="110"/>
      <c r="X76" s="110"/>
      <c r="Y76" s="73"/>
    </row>
    <row r="77" spans="3:25" ht="10.5" x14ac:dyDescent="0.25">
      <c r="C77" s="29" t="s">
        <v>246</v>
      </c>
      <c r="D77" s="63"/>
      <c r="E77" s="63"/>
      <c r="F77" s="20"/>
      <c r="H77" s="63"/>
      <c r="I77" s="63"/>
      <c r="N77" s="203" t="s">
        <v>247</v>
      </c>
      <c r="O77" s="203"/>
      <c r="P77" s="203"/>
      <c r="R77" s="203" t="s">
        <v>248</v>
      </c>
      <c r="S77" s="203"/>
      <c r="T77" s="203"/>
      <c r="V77" s="203" t="s">
        <v>225</v>
      </c>
      <c r="W77" s="203"/>
      <c r="X77" s="203"/>
      <c r="Y77" s="73"/>
    </row>
    <row r="78" spans="3:25" ht="10.5" x14ac:dyDescent="0.25">
      <c r="C78" s="29"/>
      <c r="D78" s="63"/>
      <c r="E78" s="63"/>
      <c r="F78" s="20"/>
      <c r="H78" s="63"/>
      <c r="I78" s="63"/>
      <c r="N78" s="121" t="s">
        <v>226</v>
      </c>
      <c r="O78" s="121" t="s">
        <v>227</v>
      </c>
      <c r="P78" s="121" t="s">
        <v>161</v>
      </c>
      <c r="R78" s="121" t="s">
        <v>226</v>
      </c>
      <c r="S78" s="121" t="s">
        <v>227</v>
      </c>
      <c r="T78" s="121" t="s">
        <v>161</v>
      </c>
      <c r="V78" s="121" t="s">
        <v>226</v>
      </c>
      <c r="W78" s="121" t="s">
        <v>227</v>
      </c>
      <c r="X78" s="121" t="s">
        <v>161</v>
      </c>
      <c r="Y78" s="73"/>
    </row>
    <row r="79" spans="3:25" x14ac:dyDescent="0.2">
      <c r="C79" s="54" t="s">
        <v>228</v>
      </c>
      <c r="D79" s="147" t="s">
        <v>90</v>
      </c>
      <c r="E79" s="21" t="str">
        <f>$E$8</f>
        <v>$millions</v>
      </c>
      <c r="F79" s="68" t="s">
        <v>107</v>
      </c>
      <c r="G79" s="20"/>
      <c r="H79" s="63"/>
      <c r="N79" s="133">
        <v>202.7977491827595</v>
      </c>
      <c r="O79" s="133">
        <v>161.18845831756721</v>
      </c>
      <c r="P79" s="110">
        <f>N79+O79</f>
        <v>363.98620750032671</v>
      </c>
      <c r="R79" s="133">
        <v>202.7977491827595</v>
      </c>
      <c r="S79" s="133">
        <v>165.68493198956642</v>
      </c>
      <c r="T79" s="110">
        <f>R79+S79</f>
        <v>368.4826811723259</v>
      </c>
      <c r="V79" s="110">
        <f>R79-N79</f>
        <v>0</v>
      </c>
      <c r="W79" s="110">
        <f>S79-O79</f>
        <v>4.4964736719992118</v>
      </c>
      <c r="X79" s="110">
        <f>V79+W79</f>
        <v>4.4964736719992118</v>
      </c>
      <c r="Y79" s="73"/>
    </row>
    <row r="80" spans="3:25" x14ac:dyDescent="0.2">
      <c r="C80" s="54" t="s">
        <v>229</v>
      </c>
      <c r="D80" s="147" t="s">
        <v>90</v>
      </c>
      <c r="E80" s="21" t="str">
        <f>$E$8</f>
        <v>$millions</v>
      </c>
      <c r="F80" s="68" t="s">
        <v>107</v>
      </c>
      <c r="G80" s="20"/>
      <c r="H80" s="63"/>
      <c r="I80" s="63"/>
      <c r="N80" s="133">
        <v>12.440787415371991</v>
      </c>
      <c r="O80" s="133">
        <v>9.8882327433192305</v>
      </c>
      <c r="P80" s="110">
        <f>N80+O80</f>
        <v>22.329020158691222</v>
      </c>
      <c r="R80" s="133">
        <v>12.440787415371991</v>
      </c>
      <c r="S80" s="133">
        <v>12.56675693300736</v>
      </c>
      <c r="T80" s="110">
        <f>R80+S80</f>
        <v>25.007544348379351</v>
      </c>
      <c r="V80" s="110">
        <f>R80-N80</f>
        <v>0</v>
      </c>
      <c r="W80" s="110">
        <f>S80-O80</f>
        <v>2.6785241896881296</v>
      </c>
      <c r="X80" s="110">
        <f>V80+W80</f>
        <v>2.6785241896881296</v>
      </c>
      <c r="Y80" s="73"/>
    </row>
    <row r="81" spans="3:25" ht="10.5" x14ac:dyDescent="0.25">
      <c r="C81" s="54" t="s">
        <v>230</v>
      </c>
      <c r="D81" s="21" t="s">
        <v>70</v>
      </c>
      <c r="E81" s="21" t="str">
        <f>$E$8</f>
        <v>$millions</v>
      </c>
      <c r="F81" s="68" t="s">
        <v>107</v>
      </c>
      <c r="G81" s="20"/>
      <c r="H81" s="63"/>
      <c r="I81" s="63"/>
      <c r="N81" s="110">
        <f t="shared" ref="N81:O81" si="53">N79+N80</f>
        <v>215.2385365981315</v>
      </c>
      <c r="O81" s="110">
        <f t="shared" si="53"/>
        <v>171.07669106088645</v>
      </c>
      <c r="P81" s="121">
        <f>P79+P80</f>
        <v>386.31522765901792</v>
      </c>
      <c r="R81" s="110">
        <f t="shared" ref="R81:S81" si="54">R79+R80</f>
        <v>215.2385365981315</v>
      </c>
      <c r="S81" s="110">
        <f t="shared" si="54"/>
        <v>178.25168892257378</v>
      </c>
      <c r="T81" s="121">
        <f>T79+T80</f>
        <v>393.49022552070522</v>
      </c>
      <c r="V81" s="110">
        <f t="shared" ref="V81:W81" si="55">V79+V80</f>
        <v>0</v>
      </c>
      <c r="W81" s="110">
        <f t="shared" si="55"/>
        <v>7.1749978616873413</v>
      </c>
      <c r="X81" s="110">
        <f>X79+X80</f>
        <v>7.1749978616873413</v>
      </c>
      <c r="Y81" s="73"/>
    </row>
    <row r="82" spans="3:25" x14ac:dyDescent="0.2">
      <c r="C82" s="54"/>
      <c r="D82" s="54"/>
      <c r="G82" s="20"/>
      <c r="H82" s="63"/>
      <c r="I82" s="63"/>
      <c r="N82" s="110"/>
      <c r="O82" s="110"/>
      <c r="P82" s="110"/>
      <c r="R82" s="110"/>
      <c r="S82" s="110"/>
      <c r="T82" s="110"/>
      <c r="V82" s="110"/>
      <c r="W82" s="110"/>
      <c r="X82" s="110"/>
      <c r="Y82" s="73"/>
    </row>
    <row r="83" spans="3:25" x14ac:dyDescent="0.2">
      <c r="C83" s="54" t="s">
        <v>231</v>
      </c>
      <c r="D83" s="147" t="s">
        <v>90</v>
      </c>
      <c r="E83" s="21" t="str">
        <f>$E$8</f>
        <v>$millions</v>
      </c>
      <c r="F83" s="68" t="s">
        <v>107</v>
      </c>
      <c r="G83" s="20"/>
      <c r="H83" s="63"/>
      <c r="I83" s="63"/>
      <c r="N83" s="133">
        <v>9.0612556762589858</v>
      </c>
      <c r="O83" s="133">
        <v>6.8025495514112428</v>
      </c>
      <c r="P83" s="110">
        <f t="shared" ref="P83:P86" si="56">N83+O83</f>
        <v>15.863805227670229</v>
      </c>
      <c r="R83" s="133">
        <v>9.0612556762589858</v>
      </c>
      <c r="S83" s="133">
        <v>2.9941694872505331</v>
      </c>
      <c r="T83" s="110">
        <f t="shared" ref="T83:T86" si="57">R83+S83</f>
        <v>12.055425163509518</v>
      </c>
      <c r="V83" s="110">
        <f t="shared" ref="V83:W86" si="58">R83-N83</f>
        <v>0</v>
      </c>
      <c r="W83" s="110">
        <f t="shared" si="58"/>
        <v>-3.8083800641607097</v>
      </c>
      <c r="X83" s="110">
        <f t="shared" ref="X83:X86" si="59">V83+W83</f>
        <v>-3.8083800641607097</v>
      </c>
      <c r="Y83" s="73"/>
    </row>
    <row r="84" spans="3:25" x14ac:dyDescent="0.2">
      <c r="C84" s="54" t="s">
        <v>232</v>
      </c>
      <c r="D84" s="147" t="s">
        <v>90</v>
      </c>
      <c r="E84" s="21" t="str">
        <f>$E$8</f>
        <v>$millions</v>
      </c>
      <c r="F84" s="68" t="s">
        <v>107</v>
      </c>
      <c r="G84" s="20"/>
      <c r="H84" s="63"/>
      <c r="I84" s="63"/>
      <c r="N84" s="133">
        <v>19.253010172710191</v>
      </c>
      <c r="O84" s="133">
        <v>1.3635907396942617</v>
      </c>
      <c r="P84" s="110">
        <f t="shared" si="56"/>
        <v>20.616600912404451</v>
      </c>
      <c r="R84" s="133">
        <v>19.253010172710191</v>
      </c>
      <c r="S84" s="133">
        <v>5.2159814990087385</v>
      </c>
      <c r="T84" s="110">
        <f t="shared" si="57"/>
        <v>24.468991671718928</v>
      </c>
      <c r="V84" s="110">
        <f t="shared" si="58"/>
        <v>0</v>
      </c>
      <c r="W84" s="110">
        <f t="shared" si="58"/>
        <v>3.8523907593144768</v>
      </c>
      <c r="X84" s="110">
        <f t="shared" si="59"/>
        <v>3.8523907593144768</v>
      </c>
      <c r="Y84" s="73"/>
    </row>
    <row r="85" spans="3:25" x14ac:dyDescent="0.2">
      <c r="C85" s="54" t="s">
        <v>233</v>
      </c>
      <c r="D85" s="147" t="s">
        <v>90</v>
      </c>
      <c r="E85" s="21" t="str">
        <f>$E$8</f>
        <v>$millions</v>
      </c>
      <c r="F85" s="68" t="s">
        <v>107</v>
      </c>
      <c r="G85" s="20"/>
      <c r="H85" s="63"/>
      <c r="I85" s="63"/>
      <c r="N85" s="133">
        <v>11.05747757466276</v>
      </c>
      <c r="O85" s="133">
        <v>0.64426049371417404</v>
      </c>
      <c r="P85" s="110">
        <f t="shared" si="56"/>
        <v>11.701738068376935</v>
      </c>
      <c r="R85" s="133">
        <v>11.05747757466276</v>
      </c>
      <c r="S85" s="133">
        <v>1.4657272834095816</v>
      </c>
      <c r="T85" s="110">
        <f t="shared" si="57"/>
        <v>12.523204858072342</v>
      </c>
      <c r="V85" s="110">
        <f t="shared" si="58"/>
        <v>0</v>
      </c>
      <c r="W85" s="110">
        <f t="shared" si="58"/>
        <v>0.82146678969540754</v>
      </c>
      <c r="X85" s="110">
        <f t="shared" si="59"/>
        <v>0.82146678969540754</v>
      </c>
      <c r="Y85" s="73"/>
    </row>
    <row r="86" spans="3:25" x14ac:dyDescent="0.2">
      <c r="C86" s="54" t="s">
        <v>234</v>
      </c>
      <c r="D86" s="147" t="s">
        <v>90</v>
      </c>
      <c r="E86" s="21" t="str">
        <f>$E$8</f>
        <v>$millions</v>
      </c>
      <c r="F86" s="68" t="s">
        <v>107</v>
      </c>
      <c r="G86" s="20"/>
      <c r="H86" s="63"/>
      <c r="I86" s="63"/>
      <c r="N86" s="133">
        <v>44.615722303171232</v>
      </c>
      <c r="O86" s="133">
        <v>13.593812757808834</v>
      </c>
      <c r="P86" s="110">
        <f t="shared" si="56"/>
        <v>58.209535060980066</v>
      </c>
      <c r="R86" s="133">
        <v>44.615722303171232</v>
      </c>
      <c r="S86" s="133">
        <v>5.0223714397242842</v>
      </c>
      <c r="T86" s="110">
        <f t="shared" si="57"/>
        <v>49.638093742895514</v>
      </c>
      <c r="V86" s="110">
        <f t="shared" si="58"/>
        <v>0</v>
      </c>
      <c r="W86" s="110">
        <f t="shared" si="58"/>
        <v>-8.571441318084549</v>
      </c>
      <c r="X86" s="110">
        <f t="shared" si="59"/>
        <v>-8.571441318084549</v>
      </c>
      <c r="Y86" s="73"/>
    </row>
    <row r="87" spans="3:25" x14ac:dyDescent="0.2">
      <c r="C87" s="54" t="s">
        <v>235</v>
      </c>
      <c r="D87" s="21" t="s">
        <v>70</v>
      </c>
      <c r="E87" s="21" t="str">
        <f>$E$8</f>
        <v>$millions</v>
      </c>
      <c r="F87" s="68" t="s">
        <v>107</v>
      </c>
      <c r="G87" s="20"/>
      <c r="H87" s="63"/>
      <c r="I87" s="63"/>
      <c r="N87" s="110">
        <f>SUM(N83:N86)</f>
        <v>83.98746572680318</v>
      </c>
      <c r="O87" s="110">
        <f t="shared" ref="O87:P87" si="60">SUM(O83:O86)</f>
        <v>22.404213542628511</v>
      </c>
      <c r="P87" s="110">
        <f t="shared" si="60"/>
        <v>106.39167926943168</v>
      </c>
      <c r="R87" s="110">
        <f>SUM(R83:R86)</f>
        <v>83.98746572680318</v>
      </c>
      <c r="S87" s="110">
        <f>SUM(S83:S86)</f>
        <v>14.698249709393139</v>
      </c>
      <c r="T87" s="110">
        <f>SUM(T83:T86)</f>
        <v>98.685715436196304</v>
      </c>
      <c r="V87" s="110">
        <f t="shared" ref="V87:X87" si="61">SUM(V83:V86)</f>
        <v>0</v>
      </c>
      <c r="W87" s="110">
        <f t="shared" si="61"/>
        <v>-7.7059638332353746</v>
      </c>
      <c r="X87" s="110">
        <f t="shared" si="61"/>
        <v>-7.7059638332353746</v>
      </c>
      <c r="Y87" s="73"/>
    </row>
    <row r="88" spans="3:25" x14ac:dyDescent="0.2">
      <c r="C88" s="54"/>
      <c r="D88" s="67"/>
      <c r="G88" s="20"/>
      <c r="H88" s="63"/>
      <c r="I88" s="63"/>
      <c r="N88" s="110"/>
      <c r="O88" s="110"/>
      <c r="P88" s="110"/>
      <c r="R88" s="110"/>
      <c r="S88" s="110"/>
      <c r="T88" s="110"/>
      <c r="V88" s="110"/>
      <c r="W88" s="110"/>
      <c r="X88" s="110"/>
      <c r="Y88" s="73"/>
    </row>
    <row r="89" spans="3:25" x14ac:dyDescent="0.2">
      <c r="C89" s="54" t="s">
        <v>236</v>
      </c>
      <c r="D89" s="147" t="s">
        <v>90</v>
      </c>
      <c r="E89" s="21" t="str">
        <f>$E$8</f>
        <v>$millions</v>
      </c>
      <c r="F89" s="68" t="s">
        <v>107</v>
      </c>
      <c r="G89" s="20"/>
      <c r="H89" s="63"/>
      <c r="I89" s="63"/>
      <c r="N89" s="133">
        <v>4.2702548956666728</v>
      </c>
      <c r="O89" s="133">
        <v>0.65456260819574963</v>
      </c>
      <c r="P89" s="110">
        <f t="shared" ref="P89:P90" si="62">N89+O89</f>
        <v>4.9248175038624229</v>
      </c>
      <c r="R89" s="133">
        <v>4.2702548956666728</v>
      </c>
      <c r="S89" s="133">
        <v>2.0989636601066386</v>
      </c>
      <c r="T89" s="110">
        <f t="shared" ref="T89:T90" si="63">R89+S89</f>
        <v>6.3692185557733119</v>
      </c>
      <c r="V89" s="110">
        <f t="shared" ref="V89:W91" si="64">R89-N89</f>
        <v>0</v>
      </c>
      <c r="W89" s="110">
        <f t="shared" si="64"/>
        <v>1.444401051910889</v>
      </c>
      <c r="X89" s="110">
        <f t="shared" ref="X89:X90" si="65">V89+W89</f>
        <v>1.444401051910889</v>
      </c>
      <c r="Y89" s="73"/>
    </row>
    <row r="90" spans="3:25" x14ac:dyDescent="0.2">
      <c r="C90" s="54" t="s">
        <v>237</v>
      </c>
      <c r="D90" s="147" t="s">
        <v>90</v>
      </c>
      <c r="E90" s="21" t="str">
        <f>$E$8</f>
        <v>$millions</v>
      </c>
      <c r="F90" s="68" t="s">
        <v>107</v>
      </c>
      <c r="G90" s="20"/>
      <c r="H90" s="63"/>
      <c r="I90" s="63"/>
      <c r="N90" s="133">
        <v>42.673140629401395</v>
      </c>
      <c r="O90" s="133">
        <v>4.3336588982894915</v>
      </c>
      <c r="P90" s="110">
        <f t="shared" si="62"/>
        <v>47.006799527690887</v>
      </c>
      <c r="R90" s="133">
        <v>42.673140629401395</v>
      </c>
      <c r="S90" s="133">
        <v>3.4202238179265647</v>
      </c>
      <c r="T90" s="110">
        <f t="shared" si="63"/>
        <v>46.093364447327957</v>
      </c>
      <c r="V90" s="110">
        <f t="shared" si="64"/>
        <v>0</v>
      </c>
      <c r="W90" s="110">
        <f t="shared" si="64"/>
        <v>-0.91343508036292675</v>
      </c>
      <c r="X90" s="110">
        <f t="shared" si="65"/>
        <v>-0.91343508036292675</v>
      </c>
      <c r="Y90" s="73"/>
    </row>
    <row r="91" spans="3:25" x14ac:dyDescent="0.2">
      <c r="C91" s="54" t="s">
        <v>238</v>
      </c>
      <c r="D91" s="21" t="s">
        <v>70</v>
      </c>
      <c r="E91" s="21" t="str">
        <f>$E$8</f>
        <v>$millions</v>
      </c>
      <c r="F91" s="68" t="s">
        <v>107</v>
      </c>
      <c r="G91" s="20"/>
      <c r="H91" s="63"/>
      <c r="I91" s="63"/>
      <c r="N91" s="110">
        <f t="shared" ref="N91:O91" si="66">N89+N90</f>
        <v>46.94339552506807</v>
      </c>
      <c r="O91" s="110">
        <f t="shared" si="66"/>
        <v>4.9882215064852407</v>
      </c>
      <c r="P91" s="110">
        <f>P89+P90</f>
        <v>51.931617031553309</v>
      </c>
      <c r="R91" s="110">
        <f t="shared" ref="R91:S91" si="67">R89+R90</f>
        <v>46.94339552506807</v>
      </c>
      <c r="S91" s="110">
        <f t="shared" si="67"/>
        <v>5.5191874780332029</v>
      </c>
      <c r="T91" s="110">
        <f>T89+T90</f>
        <v>52.462583003101273</v>
      </c>
      <c r="V91" s="110">
        <f t="shared" si="64"/>
        <v>0</v>
      </c>
      <c r="W91" s="110">
        <f t="shared" si="64"/>
        <v>0.53096597154796221</v>
      </c>
      <c r="X91" s="110">
        <f>X89+X90</f>
        <v>0.53096597154796221</v>
      </c>
      <c r="Y91" s="73"/>
    </row>
    <row r="92" spans="3:25" x14ac:dyDescent="0.2">
      <c r="C92" s="54"/>
      <c r="F92" s="108"/>
      <c r="G92" s="63"/>
      <c r="H92" s="63"/>
      <c r="I92" s="63"/>
      <c r="N92" s="110"/>
      <c r="O92" s="110"/>
      <c r="P92" s="110"/>
      <c r="R92" s="110"/>
      <c r="S92" s="110"/>
      <c r="T92" s="110"/>
      <c r="V92" s="110"/>
      <c r="W92" s="110"/>
      <c r="X92" s="110"/>
      <c r="Y92" s="73"/>
    </row>
    <row r="93" spans="3:25" x14ac:dyDescent="0.2">
      <c r="C93" s="54" t="s">
        <v>239</v>
      </c>
      <c r="D93" s="21" t="s">
        <v>70</v>
      </c>
      <c r="E93" s="21" t="str">
        <f t="shared" ref="E93" si="68">$E$8</f>
        <v>$millions</v>
      </c>
      <c r="F93" s="68" t="s">
        <v>107</v>
      </c>
      <c r="G93" s="63"/>
      <c r="H93" s="63"/>
      <c r="I93" s="63"/>
      <c r="N93" s="110">
        <f>N81+N87+N91</f>
        <v>346.16939785000278</v>
      </c>
      <c r="O93" s="110">
        <f t="shared" ref="O93:P93" si="69">O81+O87+O91</f>
        <v>198.46912611000019</v>
      </c>
      <c r="P93" s="110">
        <f t="shared" si="69"/>
        <v>544.63852396000289</v>
      </c>
      <c r="R93" s="110">
        <f>R81+R87+R91</f>
        <v>346.16939785000278</v>
      </c>
      <c r="S93" s="110">
        <f>S81+S87+S91</f>
        <v>198.4691261100001</v>
      </c>
      <c r="T93" s="110">
        <f>T81+T87+T91</f>
        <v>544.63852396000277</v>
      </c>
      <c r="V93" s="110">
        <f t="shared" ref="V93:X93" si="70">V81+V87+V91</f>
        <v>0</v>
      </c>
      <c r="W93" s="110">
        <f t="shared" si="70"/>
        <v>-7.1054273576010019E-14</v>
      </c>
      <c r="X93" s="110">
        <f t="shared" si="70"/>
        <v>-7.1054273576010019E-14</v>
      </c>
      <c r="Y93" s="73"/>
    </row>
    <row r="94" spans="3:25" x14ac:dyDescent="0.2">
      <c r="C94" s="54"/>
      <c r="D94" s="67"/>
      <c r="F94" s="108"/>
      <c r="G94" s="63"/>
      <c r="H94" s="63"/>
      <c r="I94" s="63"/>
      <c r="N94" s="110"/>
      <c r="O94" s="110"/>
      <c r="P94" s="110"/>
      <c r="R94" s="110"/>
      <c r="S94" s="110"/>
      <c r="T94" s="110"/>
      <c r="V94" s="110"/>
      <c r="W94" s="110"/>
      <c r="X94" s="110"/>
      <c r="Y94" s="73"/>
    </row>
    <row r="95" spans="3:25" x14ac:dyDescent="0.2">
      <c r="C95" s="54" t="s">
        <v>240</v>
      </c>
      <c r="D95" s="147" t="s">
        <v>90</v>
      </c>
      <c r="E95" s="21" t="str">
        <f>$E$8</f>
        <v>$millions</v>
      </c>
      <c r="F95" s="68" t="s">
        <v>107</v>
      </c>
      <c r="G95" s="63"/>
      <c r="H95" s="63"/>
      <c r="I95" s="63"/>
      <c r="N95" s="133">
        <v>89.292905340000132</v>
      </c>
      <c r="O95" s="133">
        <v>0</v>
      </c>
      <c r="P95" s="110">
        <f t="shared" ref="P95:P96" si="71">N95+O95</f>
        <v>89.292905340000132</v>
      </c>
      <c r="R95" s="133">
        <v>89.292905340000132</v>
      </c>
      <c r="S95" s="133">
        <v>0</v>
      </c>
      <c r="T95" s="110">
        <f t="shared" ref="T95:T96" si="72">R95+S95</f>
        <v>89.292905340000132</v>
      </c>
      <c r="V95" s="110">
        <f t="shared" ref="V95:W96" si="73">R95-N95</f>
        <v>0</v>
      </c>
      <c r="W95" s="110">
        <f t="shared" si="73"/>
        <v>0</v>
      </c>
      <c r="X95" s="110">
        <f t="shared" ref="X95:X96" si="74">V95+W95</f>
        <v>0</v>
      </c>
      <c r="Y95" s="73"/>
    </row>
    <row r="96" spans="3:25" x14ac:dyDescent="0.2">
      <c r="C96" s="54" t="s">
        <v>241</v>
      </c>
      <c r="D96" s="147" t="s">
        <v>90</v>
      </c>
      <c r="E96" s="21" t="str">
        <f>$E$8</f>
        <v>$millions</v>
      </c>
      <c r="F96" s="68" t="s">
        <v>107</v>
      </c>
      <c r="G96" s="63"/>
      <c r="H96" s="63"/>
      <c r="I96" s="63"/>
      <c r="N96" s="133">
        <v>-93.082981729999929</v>
      </c>
      <c r="O96" s="133">
        <v>0</v>
      </c>
      <c r="P96" s="110">
        <f t="shared" si="71"/>
        <v>-93.082981729999929</v>
      </c>
      <c r="R96" s="133">
        <v>-93.082981729999929</v>
      </c>
      <c r="S96" s="133">
        <v>0</v>
      </c>
      <c r="T96" s="110">
        <f t="shared" si="72"/>
        <v>-93.082981729999929</v>
      </c>
      <c r="V96" s="110">
        <f t="shared" si="73"/>
        <v>0</v>
      </c>
      <c r="W96" s="110">
        <f t="shared" si="73"/>
        <v>0</v>
      </c>
      <c r="X96" s="110">
        <f t="shared" si="74"/>
        <v>0</v>
      </c>
      <c r="Y96" s="73"/>
    </row>
    <row r="97" spans="3:25" x14ac:dyDescent="0.2">
      <c r="C97" s="54"/>
      <c r="D97" s="54"/>
      <c r="E97" s="54"/>
      <c r="F97" s="54"/>
      <c r="G97" s="63"/>
      <c r="H97" s="63"/>
      <c r="I97" s="63"/>
      <c r="N97" s="110"/>
      <c r="O97" s="110"/>
      <c r="P97" s="110"/>
      <c r="R97" s="110"/>
      <c r="S97" s="110"/>
      <c r="T97" s="110"/>
      <c r="V97" s="110"/>
      <c r="W97" s="110"/>
      <c r="X97" s="110"/>
      <c r="Y97" s="73"/>
    </row>
    <row r="98" spans="3:25" x14ac:dyDescent="0.2">
      <c r="C98" s="54" t="s">
        <v>242</v>
      </c>
      <c r="D98" s="21" t="s">
        <v>70</v>
      </c>
      <c r="E98" s="21" t="str">
        <f t="shared" ref="E98" si="75">$E$8</f>
        <v>$millions</v>
      </c>
      <c r="F98" s="68" t="s">
        <v>107</v>
      </c>
      <c r="G98" s="63"/>
      <c r="H98" s="63"/>
      <c r="I98" s="63"/>
      <c r="N98" s="110">
        <f>N93+N95+N96</f>
        <v>342.37932146000298</v>
      </c>
      <c r="O98" s="110">
        <f t="shared" ref="O98:P98" si="76">O93+O95+O96</f>
        <v>198.46912611000019</v>
      </c>
      <c r="P98" s="110">
        <f t="shared" si="76"/>
        <v>540.84844757000315</v>
      </c>
      <c r="R98" s="110">
        <f>R93+R95+R96</f>
        <v>342.37932146000298</v>
      </c>
      <c r="S98" s="110">
        <f>S93+S95+S96</f>
        <v>198.4691261100001</v>
      </c>
      <c r="T98" s="110">
        <f>T93+T95+T96</f>
        <v>540.84844757000303</v>
      </c>
      <c r="V98" s="110">
        <f t="shared" ref="V98:X98" si="77">V93+V95+V96</f>
        <v>0</v>
      </c>
      <c r="W98" s="110">
        <f t="shared" si="77"/>
        <v>-7.1054273576010019E-14</v>
      </c>
      <c r="X98" s="110">
        <f t="shared" si="77"/>
        <v>-7.1054273576010019E-14</v>
      </c>
      <c r="Y98" s="73"/>
    </row>
    <row r="99" spans="3:25" x14ac:dyDescent="0.2">
      <c r="C99" s="54"/>
      <c r="G99" s="63"/>
      <c r="H99" s="63"/>
      <c r="I99" s="63"/>
      <c r="N99" s="110"/>
      <c r="O99" s="110"/>
      <c r="P99" s="110"/>
      <c r="R99" s="110"/>
      <c r="S99" s="110"/>
      <c r="T99" s="110"/>
      <c r="V99" s="110"/>
      <c r="W99" s="110"/>
      <c r="X99" s="110"/>
      <c r="Y99" s="73"/>
    </row>
    <row r="100" spans="3:25" ht="10.5" x14ac:dyDescent="0.25">
      <c r="C100" s="29" t="s">
        <v>249</v>
      </c>
      <c r="D100" s="63"/>
      <c r="E100" s="63"/>
      <c r="F100" s="20"/>
      <c r="H100" s="63"/>
      <c r="I100" s="63"/>
      <c r="N100" s="203" t="s">
        <v>250</v>
      </c>
      <c r="O100" s="203"/>
      <c r="P100" s="203"/>
      <c r="R100" s="203" t="s">
        <v>251</v>
      </c>
      <c r="S100" s="203"/>
      <c r="T100" s="203"/>
      <c r="V100" s="203" t="s">
        <v>225</v>
      </c>
      <c r="W100" s="203"/>
      <c r="X100" s="203"/>
      <c r="Y100" s="73"/>
    </row>
    <row r="101" spans="3:25" ht="10.5" x14ac:dyDescent="0.25">
      <c r="C101" s="29"/>
      <c r="D101" s="63"/>
      <c r="E101" s="63"/>
      <c r="F101" s="20"/>
      <c r="H101" s="63"/>
      <c r="I101" s="63"/>
      <c r="N101" s="121" t="s">
        <v>226</v>
      </c>
      <c r="O101" s="121" t="s">
        <v>227</v>
      </c>
      <c r="P101" s="121" t="s">
        <v>161</v>
      </c>
      <c r="R101" s="121" t="s">
        <v>226</v>
      </c>
      <c r="S101" s="121" t="s">
        <v>227</v>
      </c>
      <c r="T101" s="121" t="s">
        <v>161</v>
      </c>
      <c r="V101" s="121" t="s">
        <v>226</v>
      </c>
      <c r="W101" s="121" t="s">
        <v>227</v>
      </c>
      <c r="X101" s="121" t="s">
        <v>161</v>
      </c>
      <c r="Y101" s="73"/>
    </row>
    <row r="102" spans="3:25" x14ac:dyDescent="0.2">
      <c r="C102" s="54" t="s">
        <v>228</v>
      </c>
      <c r="D102" s="147" t="s">
        <v>90</v>
      </c>
      <c r="E102" s="21" t="str">
        <f>$E$8</f>
        <v>$millions</v>
      </c>
      <c r="F102" s="68" t="s">
        <v>107</v>
      </c>
      <c r="G102" s="20"/>
      <c r="H102" s="63"/>
      <c r="N102" s="133">
        <v>237.62165568286588</v>
      </c>
      <c r="O102" s="133">
        <v>142.50740618661268</v>
      </c>
      <c r="P102" s="110">
        <f>N102+O102</f>
        <v>380.12906186947856</v>
      </c>
      <c r="R102" s="133">
        <v>237.62165568286588</v>
      </c>
      <c r="S102" s="133">
        <v>148.00275065571338</v>
      </c>
      <c r="T102" s="110">
        <f>R102+S102</f>
        <v>385.62440633857926</v>
      </c>
      <c r="V102" s="110">
        <f>R102-N102</f>
        <v>0</v>
      </c>
      <c r="W102" s="110">
        <f>S102-O102</f>
        <v>5.4953444691007007</v>
      </c>
      <c r="X102" s="110">
        <f>V102+W102</f>
        <v>5.4953444691007007</v>
      </c>
      <c r="Y102" s="73"/>
    </row>
    <row r="103" spans="3:25" x14ac:dyDescent="0.2">
      <c r="C103" s="54" t="s">
        <v>229</v>
      </c>
      <c r="D103" s="147" t="s">
        <v>90</v>
      </c>
      <c r="E103" s="21" t="str">
        <f>$E$8</f>
        <v>$millions</v>
      </c>
      <c r="F103" s="68" t="s">
        <v>107</v>
      </c>
      <c r="G103" s="20"/>
      <c r="H103" s="63"/>
      <c r="I103" s="63"/>
      <c r="N103" s="133">
        <v>14.577087347133984</v>
      </c>
      <c r="O103" s="133">
        <v>8.7422289084973546</v>
      </c>
      <c r="P103" s="110">
        <f>N103+O103</f>
        <v>23.319316255631339</v>
      </c>
      <c r="R103" s="133">
        <v>14.577087347133984</v>
      </c>
      <c r="S103" s="133">
        <v>11.225610986905979</v>
      </c>
      <c r="T103" s="110">
        <f>R103+S103</f>
        <v>25.802698334039963</v>
      </c>
      <c r="V103" s="110">
        <f>R103-N103</f>
        <v>0</v>
      </c>
      <c r="W103" s="110">
        <f>S103-O103</f>
        <v>2.4833820784086242</v>
      </c>
      <c r="X103" s="110">
        <f>V103+W103</f>
        <v>2.4833820784086242</v>
      </c>
      <c r="Y103" s="73"/>
    </row>
    <row r="104" spans="3:25" ht="10.5" x14ac:dyDescent="0.25">
      <c r="C104" s="54" t="s">
        <v>230</v>
      </c>
      <c r="D104" s="21" t="s">
        <v>70</v>
      </c>
      <c r="E104" s="21" t="str">
        <f>$E$8</f>
        <v>$millions</v>
      </c>
      <c r="F104" s="68" t="s">
        <v>107</v>
      </c>
      <c r="G104" s="20"/>
      <c r="H104" s="63"/>
      <c r="I104" s="63"/>
      <c r="N104" s="110">
        <f t="shared" ref="N104:O104" si="78">N102+N103</f>
        <v>252.19874302999986</v>
      </c>
      <c r="O104" s="110">
        <f t="shared" si="78"/>
        <v>151.24963509511005</v>
      </c>
      <c r="P104" s="121">
        <f>P102+P103</f>
        <v>403.44837812510991</v>
      </c>
      <c r="R104" s="110">
        <f t="shared" ref="R104:S104" si="79">R102+R103</f>
        <v>252.19874302999986</v>
      </c>
      <c r="S104" s="110">
        <f t="shared" si="79"/>
        <v>159.22836164261938</v>
      </c>
      <c r="T104" s="121">
        <f>T102+T103</f>
        <v>411.42710467261924</v>
      </c>
      <c r="V104" s="110">
        <f t="shared" ref="V104:W104" si="80">V102+V103</f>
        <v>0</v>
      </c>
      <c r="W104" s="110">
        <f t="shared" si="80"/>
        <v>7.978726547509325</v>
      </c>
      <c r="X104" s="110">
        <f>X102+X103</f>
        <v>7.978726547509325</v>
      </c>
      <c r="Y104" s="73"/>
    </row>
    <row r="105" spans="3:25" x14ac:dyDescent="0.2">
      <c r="C105" s="54"/>
      <c r="D105" s="54"/>
      <c r="G105" s="20"/>
      <c r="H105" s="63"/>
      <c r="I105" s="63"/>
      <c r="N105" s="110"/>
      <c r="O105" s="110"/>
      <c r="P105" s="110"/>
      <c r="R105" s="110"/>
      <c r="S105" s="110"/>
      <c r="T105" s="110"/>
      <c r="V105" s="110"/>
      <c r="W105" s="110"/>
      <c r="X105" s="110"/>
      <c r="Y105" s="73"/>
    </row>
    <row r="106" spans="3:25" x14ac:dyDescent="0.2">
      <c r="C106" s="54" t="s">
        <v>231</v>
      </c>
      <c r="D106" s="147" t="s">
        <v>90</v>
      </c>
      <c r="E106" s="21" t="str">
        <f>$E$8</f>
        <v>$millions</v>
      </c>
      <c r="F106" s="68" t="s">
        <v>107</v>
      </c>
      <c r="G106" s="20"/>
      <c r="H106" s="63"/>
      <c r="I106" s="63"/>
      <c r="N106" s="133">
        <v>11.409169099999996</v>
      </c>
      <c r="O106" s="133">
        <v>8.1416011269425113</v>
      </c>
      <c r="P106" s="110">
        <f t="shared" ref="P106:P109" si="81">N106+O106</f>
        <v>19.550770226942507</v>
      </c>
      <c r="R106" s="133">
        <v>11.409169099999996</v>
      </c>
      <c r="S106" s="133">
        <v>2.6033323788251721</v>
      </c>
      <c r="T106" s="110">
        <f t="shared" ref="T106:T109" si="82">R106+S106</f>
        <v>14.012501478825168</v>
      </c>
      <c r="V106" s="110">
        <f t="shared" ref="V106:W109" si="83">R106-N106</f>
        <v>0</v>
      </c>
      <c r="W106" s="110">
        <f t="shared" si="83"/>
        <v>-5.5382687481173392</v>
      </c>
      <c r="X106" s="110">
        <f t="shared" ref="X106:X109" si="84">V106+W106</f>
        <v>-5.5382687481173392</v>
      </c>
      <c r="Y106" s="73"/>
    </row>
    <row r="107" spans="3:25" x14ac:dyDescent="0.2">
      <c r="C107" s="54" t="s">
        <v>232</v>
      </c>
      <c r="D107" s="147" t="s">
        <v>90</v>
      </c>
      <c r="E107" s="21" t="str">
        <f>$E$8</f>
        <v>$millions</v>
      </c>
      <c r="F107" s="68" t="s">
        <v>107</v>
      </c>
      <c r="G107" s="20"/>
      <c r="H107" s="63"/>
      <c r="I107" s="63"/>
      <c r="N107" s="133">
        <v>19.973258380000008</v>
      </c>
      <c r="O107" s="133">
        <v>1.3171179942859652</v>
      </c>
      <c r="P107" s="110">
        <f t="shared" si="81"/>
        <v>21.290376374285973</v>
      </c>
      <c r="R107" s="133">
        <v>19.973258380000008</v>
      </c>
      <c r="S107" s="133">
        <v>4.7497029156105608</v>
      </c>
      <c r="T107" s="110">
        <f t="shared" si="82"/>
        <v>24.722961295610567</v>
      </c>
      <c r="V107" s="110">
        <f t="shared" si="83"/>
        <v>0</v>
      </c>
      <c r="W107" s="110">
        <f t="shared" si="83"/>
        <v>3.4325849213245956</v>
      </c>
      <c r="X107" s="110">
        <f t="shared" si="84"/>
        <v>3.4325849213245956</v>
      </c>
      <c r="Y107" s="73"/>
    </row>
    <row r="108" spans="3:25" x14ac:dyDescent="0.2">
      <c r="C108" s="54" t="s">
        <v>233</v>
      </c>
      <c r="D108" s="147" t="s">
        <v>90</v>
      </c>
      <c r="E108" s="21" t="str">
        <f>$E$8</f>
        <v>$millions</v>
      </c>
      <c r="F108" s="68" t="s">
        <v>107</v>
      </c>
      <c r="G108" s="20"/>
      <c r="H108" s="63"/>
      <c r="I108" s="63"/>
      <c r="N108" s="133">
        <v>10.644281460000002</v>
      </c>
      <c r="O108" s="133">
        <v>0.703635863290199</v>
      </c>
      <c r="P108" s="110">
        <f t="shared" si="81"/>
        <v>11.347917323290201</v>
      </c>
      <c r="R108" s="133">
        <v>10.644281460000002</v>
      </c>
      <c r="S108" s="133">
        <v>1.2008494687832163</v>
      </c>
      <c r="T108" s="110">
        <f t="shared" si="82"/>
        <v>11.845130928783218</v>
      </c>
      <c r="V108" s="110">
        <f t="shared" si="83"/>
        <v>0</v>
      </c>
      <c r="W108" s="110">
        <f t="shared" si="83"/>
        <v>0.4972136054930173</v>
      </c>
      <c r="X108" s="110">
        <f t="shared" si="84"/>
        <v>0.4972136054930173</v>
      </c>
      <c r="Y108" s="73"/>
    </row>
    <row r="109" spans="3:25" x14ac:dyDescent="0.2">
      <c r="C109" s="54" t="s">
        <v>234</v>
      </c>
      <c r="D109" s="147" t="s">
        <v>90</v>
      </c>
      <c r="E109" s="21" t="str">
        <f>$E$8</f>
        <v>$millions</v>
      </c>
      <c r="F109" s="68" t="s">
        <v>107</v>
      </c>
      <c r="G109" s="20"/>
      <c r="H109" s="63"/>
      <c r="I109" s="63"/>
      <c r="N109" s="133">
        <v>44.871100459999994</v>
      </c>
      <c r="O109" s="133">
        <v>8.1043935066437882</v>
      </c>
      <c r="P109" s="110">
        <f t="shared" si="81"/>
        <v>52.975493966643782</v>
      </c>
      <c r="R109" s="133">
        <v>44.871100459999994</v>
      </c>
      <c r="S109" s="133">
        <v>4.279130572715359</v>
      </c>
      <c r="T109" s="110">
        <f t="shared" si="82"/>
        <v>49.150231032715354</v>
      </c>
      <c r="V109" s="110">
        <f t="shared" si="83"/>
        <v>0</v>
      </c>
      <c r="W109" s="110">
        <f t="shared" si="83"/>
        <v>-3.8252629339284292</v>
      </c>
      <c r="X109" s="110">
        <f t="shared" si="84"/>
        <v>-3.8252629339284292</v>
      </c>
      <c r="Y109" s="73"/>
    </row>
    <row r="110" spans="3:25" x14ac:dyDescent="0.2">
      <c r="C110" s="54" t="s">
        <v>235</v>
      </c>
      <c r="D110" s="21" t="s">
        <v>70</v>
      </c>
      <c r="E110" s="21" t="str">
        <f>$E$8</f>
        <v>$millions</v>
      </c>
      <c r="F110" s="68" t="s">
        <v>107</v>
      </c>
      <c r="G110" s="20"/>
      <c r="H110" s="63"/>
      <c r="I110" s="63"/>
      <c r="N110" s="110">
        <f>SUM(N106:N109)</f>
        <v>86.8978094</v>
      </c>
      <c r="O110" s="110">
        <f t="shared" ref="O110:P110" si="85">SUM(O106:O109)</f>
        <v>18.266748491162463</v>
      </c>
      <c r="P110" s="110">
        <f t="shared" si="85"/>
        <v>105.16455789116246</v>
      </c>
      <c r="R110" s="110">
        <f>SUM(R106:R109)</f>
        <v>86.8978094</v>
      </c>
      <c r="S110" s="110">
        <f>SUM(S106:S109)</f>
        <v>12.833015335934309</v>
      </c>
      <c r="T110" s="110">
        <f>SUM(T106:T109)</f>
        <v>99.730824735934306</v>
      </c>
      <c r="V110" s="110">
        <f t="shared" ref="V110:X110" si="86">SUM(V106:V109)</f>
        <v>0</v>
      </c>
      <c r="W110" s="110">
        <f t="shared" si="86"/>
        <v>-5.4337331552281558</v>
      </c>
      <c r="X110" s="110">
        <f t="shared" si="86"/>
        <v>-5.4337331552281558</v>
      </c>
      <c r="Y110" s="73"/>
    </row>
    <row r="111" spans="3:25" x14ac:dyDescent="0.2">
      <c r="C111" s="54"/>
      <c r="D111" s="67"/>
      <c r="G111" s="20"/>
      <c r="H111" s="63"/>
      <c r="I111" s="63"/>
      <c r="N111" s="110"/>
      <c r="O111" s="110"/>
      <c r="P111" s="110"/>
      <c r="R111" s="110"/>
      <c r="S111" s="110"/>
      <c r="T111" s="110"/>
      <c r="V111" s="110"/>
      <c r="W111" s="110"/>
      <c r="X111" s="110"/>
      <c r="Y111" s="73"/>
    </row>
    <row r="112" spans="3:25" x14ac:dyDescent="0.2">
      <c r="C112" s="54" t="s">
        <v>236</v>
      </c>
      <c r="D112" s="147" t="s">
        <v>90</v>
      </c>
      <c r="E112" s="21" t="str">
        <f>$E$8</f>
        <v>$millions</v>
      </c>
      <c r="F112" s="68" t="s">
        <v>107</v>
      </c>
      <c r="G112" s="20"/>
      <c r="H112" s="63"/>
      <c r="I112" s="63"/>
      <c r="N112" s="133">
        <v>5.212077819999795</v>
      </c>
      <c r="O112" s="133">
        <v>1.3386125302253571</v>
      </c>
      <c r="P112" s="110">
        <f t="shared" ref="P112:P113" si="87">N112+O112</f>
        <v>6.5506903502251523</v>
      </c>
      <c r="R112" s="133">
        <v>5.212077819999795</v>
      </c>
      <c r="S112" s="133">
        <v>1.3938649582949418</v>
      </c>
      <c r="T112" s="110">
        <f t="shared" ref="T112:T113" si="88">R112+S112</f>
        <v>6.6059427782947369</v>
      </c>
      <c r="V112" s="110">
        <f t="shared" ref="V112:W114" si="89">R112-N112</f>
        <v>0</v>
      </c>
      <c r="W112" s="110">
        <f t="shared" si="89"/>
        <v>5.5252428069584747E-2</v>
      </c>
      <c r="X112" s="110">
        <f t="shared" ref="X112:X113" si="90">V112+W112</f>
        <v>5.5252428069584747E-2</v>
      </c>
      <c r="Y112" s="73"/>
    </row>
    <row r="113" spans="3:25" x14ac:dyDescent="0.2">
      <c r="C113" s="54" t="s">
        <v>237</v>
      </c>
      <c r="D113" s="147" t="s">
        <v>90</v>
      </c>
      <c r="E113" s="21" t="str">
        <f>$E$8</f>
        <v>$millions</v>
      </c>
      <c r="F113" s="68" t="s">
        <v>107</v>
      </c>
      <c r="G113" s="20"/>
      <c r="H113" s="63"/>
      <c r="I113" s="63"/>
      <c r="N113" s="133">
        <v>52.413955489999999</v>
      </c>
      <c r="O113" s="133">
        <v>5.4216481852293645</v>
      </c>
      <c r="P113" s="110">
        <f t="shared" si="87"/>
        <v>57.835603675229365</v>
      </c>
      <c r="R113" s="133">
        <v>52.413955489999999</v>
      </c>
      <c r="S113" s="133">
        <v>2.8214023648785762</v>
      </c>
      <c r="T113" s="110">
        <f t="shared" si="88"/>
        <v>55.235357854878572</v>
      </c>
      <c r="V113" s="110">
        <f t="shared" si="89"/>
        <v>0</v>
      </c>
      <c r="W113" s="110">
        <f t="shared" si="89"/>
        <v>-2.6002458203507883</v>
      </c>
      <c r="X113" s="110">
        <f t="shared" si="90"/>
        <v>-2.6002458203507883</v>
      </c>
      <c r="Y113" s="73"/>
    </row>
    <row r="114" spans="3:25" x14ac:dyDescent="0.2">
      <c r="C114" s="54" t="s">
        <v>238</v>
      </c>
      <c r="D114" s="21" t="s">
        <v>70</v>
      </c>
      <c r="E114" s="21" t="str">
        <f>$E$8</f>
        <v>$millions</v>
      </c>
      <c r="F114" s="68" t="s">
        <v>107</v>
      </c>
      <c r="G114" s="20"/>
      <c r="H114" s="63"/>
      <c r="I114" s="63"/>
      <c r="N114" s="110">
        <f t="shared" ref="N114:O114" si="91">N112+N113</f>
        <v>57.626033309999798</v>
      </c>
      <c r="O114" s="110">
        <f t="shared" si="91"/>
        <v>6.7602607154547218</v>
      </c>
      <c r="P114" s="110">
        <f>P112+P113</f>
        <v>64.386294025454518</v>
      </c>
      <c r="R114" s="110">
        <f t="shared" ref="R114:S114" si="92">R112+R113</f>
        <v>57.626033309999798</v>
      </c>
      <c r="S114" s="110">
        <f t="shared" si="92"/>
        <v>4.215267323173518</v>
      </c>
      <c r="T114" s="110">
        <f>T112+T113</f>
        <v>61.841300633173311</v>
      </c>
      <c r="V114" s="110">
        <f t="shared" si="89"/>
        <v>0</v>
      </c>
      <c r="W114" s="110">
        <f t="shared" si="89"/>
        <v>-2.5449933922812038</v>
      </c>
      <c r="X114" s="110">
        <f>X112+X113</f>
        <v>-2.5449933922812038</v>
      </c>
      <c r="Y114" s="73"/>
    </row>
    <row r="115" spans="3:25" x14ac:dyDescent="0.2">
      <c r="C115" s="54"/>
      <c r="F115" s="108"/>
      <c r="G115" s="63"/>
      <c r="H115" s="63"/>
      <c r="I115" s="63"/>
      <c r="N115" s="110"/>
      <c r="O115" s="110"/>
      <c r="P115" s="110"/>
      <c r="R115" s="110"/>
      <c r="S115" s="110"/>
      <c r="T115" s="110"/>
      <c r="V115" s="110"/>
      <c r="W115" s="110"/>
      <c r="X115" s="110"/>
      <c r="Y115" s="73"/>
    </row>
    <row r="116" spans="3:25" x14ac:dyDescent="0.2">
      <c r="C116" s="54" t="s">
        <v>239</v>
      </c>
      <c r="D116" s="21" t="s">
        <v>70</v>
      </c>
      <c r="E116" s="21" t="str">
        <f t="shared" ref="E116" si="93">$E$8</f>
        <v>$millions</v>
      </c>
      <c r="F116" s="68" t="s">
        <v>107</v>
      </c>
      <c r="G116" s="63"/>
      <c r="H116" s="63"/>
      <c r="I116" s="63"/>
      <c r="N116" s="110">
        <f>N104+N110+N114</f>
        <v>396.72258573999966</v>
      </c>
      <c r="O116" s="110">
        <f t="shared" ref="O116:P116" si="94">O104+O110+O114</f>
        <v>176.27664430172726</v>
      </c>
      <c r="P116" s="110">
        <f t="shared" si="94"/>
        <v>572.99923004172695</v>
      </c>
      <c r="R116" s="110">
        <f>R104+R110+R114</f>
        <v>396.72258573999966</v>
      </c>
      <c r="S116" s="110">
        <f>S104+S110+S114</f>
        <v>176.2766443017272</v>
      </c>
      <c r="T116" s="110">
        <f>T104+T110+T114</f>
        <v>572.99923004172683</v>
      </c>
      <c r="V116" s="110">
        <f t="shared" ref="V116:X116" si="95">V104+V110+V114</f>
        <v>0</v>
      </c>
      <c r="W116" s="110">
        <f t="shared" si="95"/>
        <v>-3.4638958368304884E-14</v>
      </c>
      <c r="X116" s="110">
        <f t="shared" si="95"/>
        <v>-3.4638958368304884E-14</v>
      </c>
      <c r="Y116" s="73"/>
    </row>
    <row r="117" spans="3:25" x14ac:dyDescent="0.2">
      <c r="C117" s="54"/>
      <c r="D117" s="67"/>
      <c r="F117" s="108"/>
      <c r="G117" s="63"/>
      <c r="H117" s="63"/>
      <c r="I117" s="63"/>
      <c r="N117" s="110"/>
      <c r="O117" s="110"/>
      <c r="P117" s="110"/>
      <c r="R117" s="110"/>
      <c r="S117" s="110"/>
      <c r="T117" s="110"/>
      <c r="V117" s="110"/>
      <c r="W117" s="110"/>
      <c r="X117" s="110"/>
      <c r="Y117" s="73"/>
    </row>
    <row r="118" spans="3:25" x14ac:dyDescent="0.2">
      <c r="C118" s="54" t="s">
        <v>240</v>
      </c>
      <c r="D118" s="147" t="s">
        <v>90</v>
      </c>
      <c r="E118" s="21" t="str">
        <f>$E$8</f>
        <v>$millions</v>
      </c>
      <c r="F118" s="68" t="s">
        <v>107</v>
      </c>
      <c r="G118" s="63"/>
      <c r="H118" s="63"/>
      <c r="I118" s="63"/>
      <c r="N118" s="133">
        <v>101.93126688999943</v>
      </c>
      <c r="O118" s="133">
        <v>0</v>
      </c>
      <c r="P118" s="110">
        <f t="shared" ref="P118:P119" si="96">N118+O118</f>
        <v>101.93126688999943</v>
      </c>
      <c r="R118" s="133">
        <v>101.93126688999943</v>
      </c>
      <c r="S118" s="133">
        <v>0</v>
      </c>
      <c r="T118" s="110">
        <f t="shared" ref="T118:T119" si="97">R118+S118</f>
        <v>101.93126688999943</v>
      </c>
      <c r="V118" s="110">
        <f t="shared" ref="V118:W119" si="98">R118-N118</f>
        <v>0</v>
      </c>
      <c r="W118" s="110">
        <f t="shared" si="98"/>
        <v>0</v>
      </c>
      <c r="X118" s="110">
        <f t="shared" ref="X118:X119" si="99">V118+W118</f>
        <v>0</v>
      </c>
      <c r="Y118" s="73"/>
    </row>
    <row r="119" spans="3:25" x14ac:dyDescent="0.2">
      <c r="C119" s="54" t="s">
        <v>241</v>
      </c>
      <c r="D119" s="147" t="s">
        <v>90</v>
      </c>
      <c r="E119" s="21" t="str">
        <f>$E$8</f>
        <v>$millions</v>
      </c>
      <c r="F119" s="68" t="s">
        <v>107</v>
      </c>
      <c r="G119" s="63"/>
      <c r="H119" s="63"/>
      <c r="I119" s="63"/>
      <c r="N119" s="133">
        <v>-98.811911090000024</v>
      </c>
      <c r="O119" s="133">
        <v>0</v>
      </c>
      <c r="P119" s="110">
        <f t="shared" si="96"/>
        <v>-98.811911090000024</v>
      </c>
      <c r="R119" s="133">
        <v>-98.811911090000024</v>
      </c>
      <c r="S119" s="133">
        <v>0</v>
      </c>
      <c r="T119" s="110">
        <f t="shared" si="97"/>
        <v>-98.811911090000024</v>
      </c>
      <c r="V119" s="110">
        <f t="shared" si="98"/>
        <v>0</v>
      </c>
      <c r="W119" s="110">
        <f t="shared" si="98"/>
        <v>0</v>
      </c>
      <c r="X119" s="110">
        <f t="shared" si="99"/>
        <v>0</v>
      </c>
      <c r="Y119" s="73"/>
    </row>
    <row r="120" spans="3:25" x14ac:dyDescent="0.2">
      <c r="C120" s="54"/>
      <c r="D120" s="54"/>
      <c r="E120" s="54"/>
      <c r="F120" s="54"/>
      <c r="G120" s="63"/>
      <c r="H120" s="63"/>
      <c r="I120" s="63"/>
      <c r="N120" s="110"/>
      <c r="O120" s="110"/>
      <c r="P120" s="110"/>
      <c r="R120" s="110"/>
      <c r="S120" s="110"/>
      <c r="T120" s="110"/>
      <c r="V120" s="110"/>
      <c r="W120" s="110"/>
      <c r="X120" s="110"/>
      <c r="Y120" s="73"/>
    </row>
    <row r="121" spans="3:25" x14ac:dyDescent="0.2">
      <c r="C121" s="54" t="s">
        <v>242</v>
      </c>
      <c r="D121" s="21" t="s">
        <v>70</v>
      </c>
      <c r="E121" s="21" t="str">
        <f t="shared" ref="E121" si="100">$E$8</f>
        <v>$millions</v>
      </c>
      <c r="F121" s="68" t="s">
        <v>107</v>
      </c>
      <c r="G121" s="63"/>
      <c r="H121" s="63"/>
      <c r="I121" s="63"/>
      <c r="N121" s="110">
        <f>N116+N118+N119</f>
        <v>399.84194153999908</v>
      </c>
      <c r="O121" s="110">
        <f t="shared" ref="O121:P121" si="101">O116+O118+O119</f>
        <v>176.27664430172726</v>
      </c>
      <c r="P121" s="110">
        <f t="shared" si="101"/>
        <v>576.11858584172637</v>
      </c>
      <c r="R121" s="110">
        <f>R116+R118+R119</f>
        <v>399.84194153999908</v>
      </c>
      <c r="S121" s="110">
        <f>S116+S118+S119</f>
        <v>176.2766443017272</v>
      </c>
      <c r="T121" s="110">
        <f>T116+T118+T119</f>
        <v>576.11858584172614</v>
      </c>
      <c r="V121" s="110">
        <f t="shared" ref="V121:X121" si="102">V116+V118+V119</f>
        <v>0</v>
      </c>
      <c r="W121" s="110">
        <f t="shared" si="102"/>
        <v>-3.4638958368304884E-14</v>
      </c>
      <c r="X121" s="110">
        <f t="shared" si="102"/>
        <v>-3.4638958368304884E-14</v>
      </c>
      <c r="Y121" s="73"/>
    </row>
    <row r="122" spans="3:25" x14ac:dyDescent="0.2">
      <c r="C122" s="54"/>
      <c r="G122" s="63"/>
      <c r="H122" s="63"/>
      <c r="I122" s="63"/>
      <c r="N122" s="110"/>
      <c r="O122" s="110"/>
      <c r="P122" s="110"/>
      <c r="R122" s="110"/>
      <c r="S122" s="110"/>
      <c r="T122" s="110"/>
      <c r="V122" s="110"/>
      <c r="W122" s="110"/>
      <c r="X122" s="110"/>
      <c r="Y122" s="73"/>
    </row>
    <row r="123" spans="3:25" ht="10.5" x14ac:dyDescent="0.25">
      <c r="C123" s="29" t="s">
        <v>252</v>
      </c>
      <c r="D123" s="63"/>
      <c r="E123" s="63"/>
      <c r="F123" s="20"/>
      <c r="H123" s="63"/>
      <c r="I123" s="63"/>
      <c r="N123" s="203" t="s">
        <v>253</v>
      </c>
      <c r="O123" s="203"/>
      <c r="P123" s="203"/>
      <c r="R123" s="203" t="s">
        <v>254</v>
      </c>
      <c r="S123" s="203"/>
      <c r="T123" s="203"/>
      <c r="V123" s="203" t="s">
        <v>225</v>
      </c>
      <c r="W123" s="203"/>
      <c r="X123" s="203"/>
      <c r="Y123" s="73"/>
    </row>
    <row r="124" spans="3:25" ht="10.5" x14ac:dyDescent="0.25">
      <c r="C124" s="29"/>
      <c r="D124" s="63"/>
      <c r="E124" s="63"/>
      <c r="F124" s="20"/>
      <c r="H124" s="63"/>
      <c r="I124" s="63"/>
      <c r="N124" s="121" t="s">
        <v>226</v>
      </c>
      <c r="O124" s="121" t="s">
        <v>227</v>
      </c>
      <c r="P124" s="121" t="s">
        <v>161</v>
      </c>
      <c r="R124" s="121" t="s">
        <v>226</v>
      </c>
      <c r="S124" s="121" t="s">
        <v>227</v>
      </c>
      <c r="T124" s="121" t="s">
        <v>161</v>
      </c>
      <c r="V124" s="121" t="s">
        <v>226</v>
      </c>
      <c r="W124" s="121" t="s">
        <v>227</v>
      </c>
      <c r="X124" s="121" t="s">
        <v>161</v>
      </c>
      <c r="Y124" s="73"/>
    </row>
    <row r="125" spans="3:25" x14ac:dyDescent="0.2">
      <c r="C125" s="54" t="s">
        <v>228</v>
      </c>
      <c r="D125" s="147" t="s">
        <v>90</v>
      </c>
      <c r="E125" s="21" t="str">
        <f>$E$8</f>
        <v>$millions</v>
      </c>
      <c r="F125" s="68" t="s">
        <v>107</v>
      </c>
      <c r="G125" s="20"/>
      <c r="H125" s="63"/>
      <c r="N125" s="133">
        <v>196.27555918905313</v>
      </c>
      <c r="O125" s="133">
        <v>223.71070106044181</v>
      </c>
      <c r="P125" s="110">
        <f>N125+O125</f>
        <v>419.98626024949493</v>
      </c>
      <c r="R125" s="133">
        <v>196.27555918905313</v>
      </c>
      <c r="S125" s="133">
        <v>228.48319488268561</v>
      </c>
      <c r="T125" s="110">
        <f>R125+S125</f>
        <v>424.75875407173874</v>
      </c>
      <c r="V125" s="110">
        <f>R125-N125</f>
        <v>0</v>
      </c>
      <c r="W125" s="110">
        <f>S125-O125</f>
        <v>4.7724938222438027</v>
      </c>
      <c r="X125" s="110">
        <f>V125+W125</f>
        <v>4.7724938222438027</v>
      </c>
      <c r="Y125" s="73"/>
    </row>
    <row r="126" spans="3:25" x14ac:dyDescent="0.2">
      <c r="C126" s="54" t="s">
        <v>229</v>
      </c>
      <c r="D126" s="147" t="s">
        <v>90</v>
      </c>
      <c r="E126" s="21" t="str">
        <f>$E$8</f>
        <v>$millions</v>
      </c>
      <c r="F126" s="68" t="s">
        <v>107</v>
      </c>
      <c r="G126" s="20"/>
      <c r="H126" s="63"/>
      <c r="I126" s="63"/>
      <c r="N126" s="133">
        <v>12.040678540784615</v>
      </c>
      <c r="O126" s="133">
        <v>13.723708895450571</v>
      </c>
      <c r="P126" s="110">
        <f>N126+O126</f>
        <v>25.764387436235186</v>
      </c>
      <c r="R126" s="133">
        <v>12.040678540784615</v>
      </c>
      <c r="S126" s="133">
        <v>17.329836448546018</v>
      </c>
      <c r="T126" s="110">
        <f>R126+S126</f>
        <v>29.370514989330633</v>
      </c>
      <c r="V126" s="110">
        <f>R126-N126</f>
        <v>0</v>
      </c>
      <c r="W126" s="110">
        <f>S126-O126</f>
        <v>3.6061275530954475</v>
      </c>
      <c r="X126" s="110">
        <f>V126+W126</f>
        <v>3.6061275530954475</v>
      </c>
      <c r="Y126" s="73"/>
    </row>
    <row r="127" spans="3:25" ht="10.5" x14ac:dyDescent="0.25">
      <c r="C127" s="54" t="s">
        <v>230</v>
      </c>
      <c r="D127" s="21" t="s">
        <v>70</v>
      </c>
      <c r="E127" s="21" t="str">
        <f>$E$8</f>
        <v>$millions</v>
      </c>
      <c r="F127" s="68" t="s">
        <v>107</v>
      </c>
      <c r="G127" s="20"/>
      <c r="H127" s="63"/>
      <c r="I127" s="63"/>
      <c r="N127" s="110">
        <f t="shared" ref="N127:O127" si="103">N125+N126</f>
        <v>208.31623772983775</v>
      </c>
      <c r="O127" s="110">
        <f t="shared" si="103"/>
        <v>237.43440995589236</v>
      </c>
      <c r="P127" s="121">
        <f>P125+P126</f>
        <v>445.75064768573014</v>
      </c>
      <c r="R127" s="110">
        <f t="shared" ref="R127:S127" si="104">R125+R126</f>
        <v>208.31623772983775</v>
      </c>
      <c r="S127" s="110">
        <f t="shared" si="104"/>
        <v>245.81303133123163</v>
      </c>
      <c r="T127" s="121">
        <f>T125+T126</f>
        <v>454.12926906106935</v>
      </c>
      <c r="V127" s="110">
        <f t="shared" ref="V127:W127" si="105">V125+V126</f>
        <v>0</v>
      </c>
      <c r="W127" s="110">
        <f t="shared" si="105"/>
        <v>8.3786213753392502</v>
      </c>
      <c r="X127" s="110">
        <f>X125+X126</f>
        <v>8.3786213753392502</v>
      </c>
      <c r="Y127" s="73"/>
    </row>
    <row r="128" spans="3:25" x14ac:dyDescent="0.2">
      <c r="C128" s="54"/>
      <c r="D128" s="54"/>
      <c r="G128" s="20"/>
      <c r="H128" s="63"/>
      <c r="I128" s="63"/>
      <c r="N128" s="110"/>
      <c r="O128" s="110"/>
      <c r="P128" s="110"/>
      <c r="R128" s="110"/>
      <c r="S128" s="110"/>
      <c r="T128" s="110"/>
      <c r="V128" s="110"/>
      <c r="W128" s="110"/>
      <c r="X128" s="110"/>
      <c r="Y128" s="73"/>
    </row>
    <row r="129" spans="3:25" x14ac:dyDescent="0.2">
      <c r="C129" s="54" t="s">
        <v>231</v>
      </c>
      <c r="D129" s="147" t="s">
        <v>90</v>
      </c>
      <c r="E129" s="21" t="str">
        <f>$E$8</f>
        <v>$millions</v>
      </c>
      <c r="F129" s="68" t="s">
        <v>107</v>
      </c>
      <c r="G129" s="20"/>
      <c r="H129" s="63"/>
      <c r="I129" s="63"/>
      <c r="N129" s="133">
        <v>8.9711775036571737</v>
      </c>
      <c r="O129" s="133">
        <v>5.4686729103446083</v>
      </c>
      <c r="P129" s="110">
        <f t="shared" ref="P129:P132" si="106">N129+O129</f>
        <v>14.439850414001782</v>
      </c>
      <c r="R129" s="133">
        <v>8.9711775036571737</v>
      </c>
      <c r="S129" s="133">
        <v>4.7293647599565061</v>
      </c>
      <c r="T129" s="110">
        <f t="shared" ref="T129:T132" si="107">R129+S129</f>
        <v>13.700542263613681</v>
      </c>
      <c r="V129" s="110">
        <f t="shared" ref="V129:W132" si="108">R129-N129</f>
        <v>0</v>
      </c>
      <c r="W129" s="110">
        <f t="shared" si="108"/>
        <v>-0.73930815038810227</v>
      </c>
      <c r="X129" s="110">
        <f t="shared" ref="X129:X132" si="109">V129+W129</f>
        <v>-0.73930815038810227</v>
      </c>
      <c r="Y129" s="73"/>
    </row>
    <row r="130" spans="3:25" x14ac:dyDescent="0.2">
      <c r="C130" s="54" t="s">
        <v>232</v>
      </c>
      <c r="D130" s="147" t="s">
        <v>90</v>
      </c>
      <c r="E130" s="21" t="str">
        <f>$E$8</f>
        <v>$millions</v>
      </c>
      <c r="F130" s="68" t="s">
        <v>107</v>
      </c>
      <c r="G130" s="20"/>
      <c r="H130" s="63"/>
      <c r="I130" s="63"/>
      <c r="N130" s="133">
        <v>21.030670919327516</v>
      </c>
      <c r="O130" s="133">
        <v>2.4210366815369966</v>
      </c>
      <c r="P130" s="110">
        <f t="shared" si="106"/>
        <v>23.451707600864513</v>
      </c>
      <c r="R130" s="133">
        <v>21.030670919327516</v>
      </c>
      <c r="S130" s="133">
        <v>7.1795349375537549</v>
      </c>
      <c r="T130" s="110">
        <f t="shared" si="107"/>
        <v>28.21020585688127</v>
      </c>
      <c r="V130" s="110">
        <f t="shared" si="108"/>
        <v>0</v>
      </c>
      <c r="W130" s="110">
        <f t="shared" si="108"/>
        <v>4.7584982560167584</v>
      </c>
      <c r="X130" s="110">
        <f t="shared" si="109"/>
        <v>4.7584982560167584</v>
      </c>
      <c r="Y130" s="73"/>
    </row>
    <row r="131" spans="3:25" x14ac:dyDescent="0.2">
      <c r="C131" s="54" t="s">
        <v>233</v>
      </c>
      <c r="D131" s="147" t="s">
        <v>90</v>
      </c>
      <c r="E131" s="21" t="str">
        <f>$E$8</f>
        <v>$millions</v>
      </c>
      <c r="F131" s="68" t="s">
        <v>107</v>
      </c>
      <c r="G131" s="20"/>
      <c r="H131" s="63"/>
      <c r="I131" s="63"/>
      <c r="N131" s="133">
        <v>14.07441154283978</v>
      </c>
      <c r="O131" s="133">
        <v>1.3607208238143349</v>
      </c>
      <c r="P131" s="110">
        <f t="shared" si="106"/>
        <v>15.435132366654114</v>
      </c>
      <c r="R131" s="133">
        <v>14.07441154283978</v>
      </c>
      <c r="S131" s="133">
        <v>2.0638686550220031</v>
      </c>
      <c r="T131" s="110">
        <f t="shared" si="107"/>
        <v>16.138280197861782</v>
      </c>
      <c r="V131" s="110">
        <f t="shared" si="108"/>
        <v>0</v>
      </c>
      <c r="W131" s="110">
        <f t="shared" si="108"/>
        <v>0.70314783120766822</v>
      </c>
      <c r="X131" s="110">
        <f t="shared" si="109"/>
        <v>0.70314783120766822</v>
      </c>
      <c r="Y131" s="73"/>
    </row>
    <row r="132" spans="3:25" x14ac:dyDescent="0.2">
      <c r="C132" s="54" t="s">
        <v>234</v>
      </c>
      <c r="D132" s="147" t="s">
        <v>90</v>
      </c>
      <c r="E132" s="21" t="str">
        <f>$E$8</f>
        <v>$millions</v>
      </c>
      <c r="F132" s="68" t="s">
        <v>107</v>
      </c>
      <c r="G132" s="20"/>
      <c r="H132" s="63"/>
      <c r="I132" s="63"/>
      <c r="N132" s="133">
        <v>23.5517134659543</v>
      </c>
      <c r="O132" s="133">
        <v>11.570504179003736</v>
      </c>
      <c r="P132" s="110">
        <f t="shared" si="106"/>
        <v>35.122217644958035</v>
      </c>
      <c r="R132" s="133">
        <v>23.5517134659543</v>
      </c>
      <c r="S132" s="133">
        <v>3.3657460317894436</v>
      </c>
      <c r="T132" s="110">
        <f t="shared" si="107"/>
        <v>26.917459497743742</v>
      </c>
      <c r="V132" s="110">
        <f t="shared" si="108"/>
        <v>0</v>
      </c>
      <c r="W132" s="110">
        <f t="shared" si="108"/>
        <v>-8.2047581472142923</v>
      </c>
      <c r="X132" s="110">
        <f t="shared" si="109"/>
        <v>-8.2047581472142923</v>
      </c>
      <c r="Y132" s="73"/>
    </row>
    <row r="133" spans="3:25" x14ac:dyDescent="0.2">
      <c r="C133" s="54" t="s">
        <v>235</v>
      </c>
      <c r="D133" s="21" t="s">
        <v>70</v>
      </c>
      <c r="E133" s="21" t="str">
        <f>$E$8</f>
        <v>$millions</v>
      </c>
      <c r="F133" s="68" t="s">
        <v>107</v>
      </c>
      <c r="G133" s="20"/>
      <c r="H133" s="63"/>
      <c r="I133" s="63"/>
      <c r="N133" s="110">
        <f>SUM(N129:N132)</f>
        <v>67.62797343177877</v>
      </c>
      <c r="O133" s="110">
        <f t="shared" ref="O133:P133" si="110">SUM(O129:O132)</f>
        <v>20.820934594699676</v>
      </c>
      <c r="P133" s="110">
        <f t="shared" si="110"/>
        <v>88.448908026478449</v>
      </c>
      <c r="R133" s="110">
        <f>SUM(R129:R132)</f>
        <v>67.62797343177877</v>
      </c>
      <c r="S133" s="110">
        <f>SUM(S129:S132)</f>
        <v>17.338514384321705</v>
      </c>
      <c r="T133" s="110">
        <f>SUM(T129:T132)</f>
        <v>84.966487816100482</v>
      </c>
      <c r="V133" s="110">
        <f t="shared" ref="V133:X133" si="111">SUM(V129:V132)</f>
        <v>0</v>
      </c>
      <c r="W133" s="110">
        <f t="shared" si="111"/>
        <v>-3.4824202103779678</v>
      </c>
      <c r="X133" s="110">
        <f t="shared" si="111"/>
        <v>-3.4824202103779678</v>
      </c>
      <c r="Y133" s="73"/>
    </row>
    <row r="134" spans="3:25" x14ac:dyDescent="0.2">
      <c r="C134" s="54"/>
      <c r="D134" s="67"/>
      <c r="G134" s="20"/>
      <c r="H134" s="63"/>
      <c r="I134" s="63"/>
      <c r="N134" s="110"/>
      <c r="O134" s="110"/>
      <c r="P134" s="110"/>
      <c r="R134" s="110"/>
      <c r="S134" s="110"/>
      <c r="T134" s="110"/>
      <c r="V134" s="110"/>
      <c r="W134" s="110"/>
      <c r="X134" s="110"/>
      <c r="Y134" s="73"/>
    </row>
    <row r="135" spans="3:25" x14ac:dyDescent="0.2">
      <c r="C135" s="54" t="s">
        <v>236</v>
      </c>
      <c r="D135" s="147" t="s">
        <v>90</v>
      </c>
      <c r="E135" s="21" t="str">
        <f>$E$8</f>
        <v>$millions</v>
      </c>
      <c r="F135" s="68" t="s">
        <v>107</v>
      </c>
      <c r="G135" s="20"/>
      <c r="H135" s="63"/>
      <c r="I135" s="63"/>
      <c r="N135" s="133">
        <v>33.884754688383353</v>
      </c>
      <c r="O135" s="133">
        <v>4.1752153932900136</v>
      </c>
      <c r="P135" s="110">
        <f t="shared" ref="P135:P136" si="112">N135+O135</f>
        <v>38.05997008167337</v>
      </c>
      <c r="R135" s="133">
        <v>33.884754688383353</v>
      </c>
      <c r="S135" s="133">
        <v>3.8908268201500591</v>
      </c>
      <c r="T135" s="110">
        <f t="shared" ref="T135:T136" si="113">R135+S135</f>
        <v>37.775581508533413</v>
      </c>
      <c r="V135" s="110">
        <f t="shared" ref="V135:W137" si="114">R135-N135</f>
        <v>0</v>
      </c>
      <c r="W135" s="110">
        <f t="shared" si="114"/>
        <v>-0.28438857313995447</v>
      </c>
      <c r="X135" s="110">
        <f t="shared" ref="X135:X136" si="115">V135+W135</f>
        <v>-0.28438857313995447</v>
      </c>
      <c r="Y135" s="73"/>
    </row>
    <row r="136" spans="3:25" x14ac:dyDescent="0.2">
      <c r="C136" s="54" t="s">
        <v>237</v>
      </c>
      <c r="D136" s="147" t="s">
        <v>90</v>
      </c>
      <c r="E136" s="21" t="str">
        <f>$E$8</f>
        <v>$millions</v>
      </c>
      <c r="F136" s="68" t="s">
        <v>107</v>
      </c>
      <c r="G136" s="20"/>
      <c r="H136" s="63"/>
      <c r="I136" s="63"/>
      <c r="N136" s="133">
        <v>56.051025399999979</v>
      </c>
      <c r="O136" s="133">
        <v>8.8294508557074565</v>
      </c>
      <c r="P136" s="110">
        <f t="shared" si="112"/>
        <v>64.880476255707435</v>
      </c>
      <c r="R136" s="133">
        <v>56.051025399999979</v>
      </c>
      <c r="S136" s="133">
        <v>4.2176382638864656</v>
      </c>
      <c r="T136" s="110">
        <f t="shared" si="113"/>
        <v>60.268663663886443</v>
      </c>
      <c r="V136" s="110">
        <f t="shared" si="114"/>
        <v>0</v>
      </c>
      <c r="W136" s="110">
        <f t="shared" si="114"/>
        <v>-4.6118125918209909</v>
      </c>
      <c r="X136" s="110">
        <f t="shared" si="115"/>
        <v>-4.6118125918209909</v>
      </c>
      <c r="Y136" s="73"/>
    </row>
    <row r="137" spans="3:25" x14ac:dyDescent="0.2">
      <c r="C137" s="54" t="s">
        <v>238</v>
      </c>
      <c r="D137" s="21" t="s">
        <v>70</v>
      </c>
      <c r="E137" s="21" t="str">
        <f>$E$8</f>
        <v>$millions</v>
      </c>
      <c r="F137" s="68" t="s">
        <v>107</v>
      </c>
      <c r="G137" s="20"/>
      <c r="H137" s="63"/>
      <c r="I137" s="63"/>
      <c r="N137" s="110">
        <f t="shared" ref="N137:O137" si="116">N135+N136</f>
        <v>89.935780088383325</v>
      </c>
      <c r="O137" s="110">
        <f t="shared" si="116"/>
        <v>13.00466624899747</v>
      </c>
      <c r="P137" s="110">
        <f>P135+P136</f>
        <v>102.94044633738081</v>
      </c>
      <c r="R137" s="110">
        <f t="shared" ref="R137:S137" si="117">R135+R136</f>
        <v>89.935780088383325</v>
      </c>
      <c r="S137" s="110">
        <f t="shared" si="117"/>
        <v>8.1084650840365242</v>
      </c>
      <c r="T137" s="110">
        <f>T135+T136</f>
        <v>98.044245172419863</v>
      </c>
      <c r="V137" s="110">
        <f t="shared" si="114"/>
        <v>0</v>
      </c>
      <c r="W137" s="110">
        <f t="shared" si="114"/>
        <v>-4.8962011649609458</v>
      </c>
      <c r="X137" s="110">
        <f>X135+X136</f>
        <v>-4.8962011649609458</v>
      </c>
      <c r="Y137" s="73"/>
    </row>
    <row r="138" spans="3:25" x14ac:dyDescent="0.2">
      <c r="C138" s="54"/>
      <c r="F138" s="108"/>
      <c r="G138" s="63"/>
      <c r="H138" s="63"/>
      <c r="I138" s="63"/>
      <c r="N138" s="110"/>
      <c r="O138" s="110"/>
      <c r="P138" s="110"/>
      <c r="R138" s="110"/>
      <c r="S138" s="110"/>
      <c r="T138" s="110"/>
      <c r="V138" s="110"/>
      <c r="W138" s="110"/>
      <c r="X138" s="110"/>
      <c r="Y138" s="73"/>
    </row>
    <row r="139" spans="3:25" x14ac:dyDescent="0.2">
      <c r="C139" s="54" t="s">
        <v>239</v>
      </c>
      <c r="D139" s="21" t="s">
        <v>70</v>
      </c>
      <c r="E139" s="21" t="str">
        <f t="shared" ref="E139" si="118">$E$8</f>
        <v>$millions</v>
      </c>
      <c r="F139" s="68" t="s">
        <v>107</v>
      </c>
      <c r="G139" s="63"/>
      <c r="H139" s="63"/>
      <c r="I139" s="63"/>
      <c r="N139" s="110">
        <f>N127+N133+N137</f>
        <v>365.87999124999988</v>
      </c>
      <c r="O139" s="110">
        <f t="shared" ref="O139:P139" si="119">O127+O133+O137</f>
        <v>271.26001079958951</v>
      </c>
      <c r="P139" s="110">
        <f t="shared" si="119"/>
        <v>637.14000204958938</v>
      </c>
      <c r="R139" s="110">
        <f>R127+R133+R137</f>
        <v>365.87999124999988</v>
      </c>
      <c r="S139" s="110">
        <f>S127+S133+S137</f>
        <v>271.26001079958985</v>
      </c>
      <c r="T139" s="110">
        <f>T127+T133+T137</f>
        <v>637.14000204958973</v>
      </c>
      <c r="V139" s="110">
        <f t="shared" ref="V139:X139" si="120">V127+V133+V137</f>
        <v>0</v>
      </c>
      <c r="W139" s="110">
        <f t="shared" si="120"/>
        <v>3.3661962106634746E-13</v>
      </c>
      <c r="X139" s="110">
        <f t="shared" si="120"/>
        <v>3.3661962106634746E-13</v>
      </c>
      <c r="Y139" s="73"/>
    </row>
    <row r="140" spans="3:25" x14ac:dyDescent="0.2">
      <c r="C140" s="54"/>
      <c r="D140" s="67"/>
      <c r="F140" s="108"/>
      <c r="G140" s="63"/>
      <c r="H140" s="63"/>
      <c r="I140" s="63"/>
      <c r="N140" s="110"/>
      <c r="O140" s="110"/>
      <c r="P140" s="110"/>
      <c r="R140" s="110"/>
      <c r="S140" s="110"/>
      <c r="T140" s="110"/>
      <c r="V140" s="110"/>
      <c r="W140" s="110"/>
      <c r="X140" s="110"/>
      <c r="Y140" s="73"/>
    </row>
    <row r="141" spans="3:25" x14ac:dyDescent="0.2">
      <c r="C141" s="54" t="s">
        <v>240</v>
      </c>
      <c r="D141" s="147" t="s">
        <v>90</v>
      </c>
      <c r="E141" s="21" t="str">
        <f>$E$8</f>
        <v>$millions</v>
      </c>
      <c r="F141" s="68" t="s">
        <v>107</v>
      </c>
      <c r="G141" s="63"/>
      <c r="H141" s="63"/>
      <c r="I141" s="63"/>
      <c r="N141" s="133">
        <v>111.70402754000003</v>
      </c>
      <c r="O141" s="133">
        <v>0</v>
      </c>
      <c r="P141" s="110">
        <f t="shared" ref="P141:P142" si="121">N141+O141</f>
        <v>111.70402754000003</v>
      </c>
      <c r="R141" s="133">
        <v>111.70402754000003</v>
      </c>
      <c r="S141" s="133">
        <v>0</v>
      </c>
      <c r="T141" s="110">
        <f t="shared" ref="T141:T142" si="122">R141+S141</f>
        <v>111.70402754000003</v>
      </c>
      <c r="V141" s="110">
        <f t="shared" ref="V141:W142" si="123">R141-N141</f>
        <v>0</v>
      </c>
      <c r="W141" s="110">
        <f t="shared" si="123"/>
        <v>0</v>
      </c>
      <c r="X141" s="110">
        <f t="shared" ref="X141:X142" si="124">V141+W141</f>
        <v>0</v>
      </c>
      <c r="Y141" s="73"/>
    </row>
    <row r="142" spans="3:25" x14ac:dyDescent="0.2">
      <c r="C142" s="54" t="s">
        <v>241</v>
      </c>
      <c r="D142" s="147" t="s">
        <v>90</v>
      </c>
      <c r="E142" s="21" t="str">
        <f>$E$8</f>
        <v>$millions</v>
      </c>
      <c r="F142" s="68" t="s">
        <v>107</v>
      </c>
      <c r="G142" s="63"/>
      <c r="H142" s="63"/>
      <c r="I142" s="63"/>
      <c r="N142" s="133">
        <v>-107.51453781999999</v>
      </c>
      <c r="O142" s="133">
        <v>0</v>
      </c>
      <c r="P142" s="110">
        <f t="shared" si="121"/>
        <v>-107.51453781999999</v>
      </c>
      <c r="R142" s="133">
        <v>-107.51453781999999</v>
      </c>
      <c r="S142" s="133">
        <v>0</v>
      </c>
      <c r="T142" s="110">
        <f t="shared" si="122"/>
        <v>-107.51453781999999</v>
      </c>
      <c r="V142" s="110">
        <f t="shared" si="123"/>
        <v>0</v>
      </c>
      <c r="W142" s="110">
        <f t="shared" si="123"/>
        <v>0</v>
      </c>
      <c r="X142" s="110">
        <f t="shared" si="124"/>
        <v>0</v>
      </c>
      <c r="Y142" s="73"/>
    </row>
    <row r="143" spans="3:25" x14ac:dyDescent="0.2">
      <c r="C143" s="54"/>
      <c r="D143" s="54"/>
      <c r="E143" s="54"/>
      <c r="F143" s="54"/>
      <c r="G143" s="63"/>
      <c r="H143" s="63"/>
      <c r="I143" s="63"/>
      <c r="N143" s="110"/>
      <c r="O143" s="110"/>
      <c r="P143" s="110"/>
      <c r="R143" s="110"/>
      <c r="S143" s="110"/>
      <c r="T143" s="110"/>
      <c r="V143" s="110"/>
      <c r="W143" s="110"/>
      <c r="X143" s="110"/>
      <c r="Y143" s="73"/>
    </row>
    <row r="144" spans="3:25" x14ac:dyDescent="0.2">
      <c r="C144" s="54" t="s">
        <v>242</v>
      </c>
      <c r="D144" s="21" t="s">
        <v>70</v>
      </c>
      <c r="E144" s="21" t="str">
        <f t="shared" ref="E144" si="125">$E$8</f>
        <v>$millions</v>
      </c>
      <c r="F144" s="68" t="s">
        <v>107</v>
      </c>
      <c r="G144" s="63"/>
      <c r="H144" s="63"/>
      <c r="I144" s="63"/>
      <c r="N144" s="110">
        <f>N139+N141+N142</f>
        <v>370.06948096999992</v>
      </c>
      <c r="O144" s="110">
        <f t="shared" ref="O144:P144" si="126">O139+O141+O142</f>
        <v>271.26001079958951</v>
      </c>
      <c r="P144" s="110">
        <f t="shared" si="126"/>
        <v>641.32949176958937</v>
      </c>
      <c r="R144" s="110">
        <f>R139+R141+R142</f>
        <v>370.06948096999992</v>
      </c>
      <c r="S144" s="110">
        <f>S139+S141+S142</f>
        <v>271.26001079958985</v>
      </c>
      <c r="T144" s="110">
        <f>T139+T141+T142</f>
        <v>641.32949176958982</v>
      </c>
      <c r="V144" s="110">
        <f t="shared" ref="V144:X144" si="127">V139+V141+V142</f>
        <v>0</v>
      </c>
      <c r="W144" s="110">
        <f t="shared" si="127"/>
        <v>3.3661962106634746E-13</v>
      </c>
      <c r="X144" s="110">
        <f t="shared" si="127"/>
        <v>3.3661962106634746E-13</v>
      </c>
      <c r="Y144" s="73"/>
    </row>
    <row r="145" spans="3:25" x14ac:dyDescent="0.2">
      <c r="C145" s="54"/>
      <c r="G145" s="63"/>
      <c r="H145" s="63"/>
      <c r="I145" s="63"/>
      <c r="N145" s="110"/>
      <c r="O145" s="110"/>
      <c r="P145" s="110"/>
      <c r="R145" s="110"/>
      <c r="S145" s="110"/>
      <c r="T145" s="110"/>
      <c r="V145" s="110"/>
      <c r="W145" s="110"/>
      <c r="X145" s="110"/>
      <c r="Y145" s="73"/>
    </row>
    <row r="146" spans="3:25" ht="10.5" x14ac:dyDescent="0.25">
      <c r="C146" s="29"/>
      <c r="G146" s="63"/>
      <c r="H146" s="63"/>
      <c r="I146" s="63"/>
      <c r="N146" s="110"/>
      <c r="O146" s="110"/>
      <c r="P146" s="110"/>
      <c r="R146" s="110"/>
      <c r="S146" s="110"/>
      <c r="T146" s="110"/>
      <c r="V146" s="110"/>
      <c r="W146" s="110"/>
      <c r="X146" s="110"/>
      <c r="Y146" s="73"/>
    </row>
    <row r="147" spans="3:25" ht="10.5" x14ac:dyDescent="0.25">
      <c r="C147" s="29" t="s">
        <v>255</v>
      </c>
      <c r="G147" s="63"/>
      <c r="H147" s="63"/>
      <c r="I147" s="154">
        <f>IF(YEAR(I$4)&lt;=PPLastYear,I$4,IF(YEAR(I$4)&gt;=FPFirstYear,IF(YEAR(I$4)&lt;=FPLastYear,I$4,""),""))</f>
        <v>43617</v>
      </c>
      <c r="J147" s="154">
        <f>IF(YEAR(J$4)&lt;=PPLastYear,J$4,IF(YEAR(J$4)&gt;=FPFirstYear,IF(YEAR(J$4)&lt;=FPLastYear,J$4,""),""))</f>
        <v>43983</v>
      </c>
      <c r="K147" s="154">
        <f>IF(YEAR(K$4)&lt;=PPLastYear,K$4,IF(YEAR(K$4)&gt;=FPFirstYear,IF(YEAR(K$4)&lt;=FPLastYear,K$4,""),""))</f>
        <v>44348</v>
      </c>
      <c r="L147" s="154">
        <f>IF(YEAR(L$4)&lt;=PPLastYear,L$4,IF(YEAR(L$4)&gt;=FPFirstYear,IF(YEAR(L$4)&lt;=FPLastYear,L$4,""),""))</f>
        <v>44713</v>
      </c>
      <c r="M147" s="154">
        <f>IF(YEAR(M$4)&lt;=PPLastYear,M$4,IF(YEAR(M$4)&gt;=FPFirstYear,IF(YEAR(M$4)&lt;=FPLastYear,M$4,""),""))</f>
        <v>45078</v>
      </c>
      <c r="N147" s="112" t="s">
        <v>256</v>
      </c>
      <c r="O147" s="110"/>
      <c r="P147" s="110"/>
      <c r="R147" s="110"/>
      <c r="S147" s="110"/>
      <c r="T147" s="110"/>
      <c r="V147" s="110"/>
      <c r="W147" s="110"/>
      <c r="X147" s="110"/>
      <c r="Y147" s="73"/>
    </row>
    <row r="148" spans="3:25" x14ac:dyDescent="0.2">
      <c r="C148" s="54"/>
      <c r="G148" s="63"/>
      <c r="H148" s="63"/>
      <c r="I148" s="20"/>
      <c r="N148" s="110"/>
      <c r="O148" s="110"/>
      <c r="P148" s="110"/>
      <c r="R148" s="110"/>
      <c r="S148" s="110"/>
      <c r="T148" s="110"/>
      <c r="V148" s="110"/>
      <c r="W148" s="110"/>
      <c r="X148" s="110"/>
      <c r="Y148" s="73"/>
    </row>
    <row r="149" spans="3:25" x14ac:dyDescent="0.2">
      <c r="C149" s="54" t="s">
        <v>257</v>
      </c>
      <c r="D149" s="21" t="s">
        <v>70</v>
      </c>
      <c r="E149" s="21" t="str">
        <f t="shared" ref="E149:E159" si="128">$E$8</f>
        <v>$millions</v>
      </c>
      <c r="F149" s="68" t="s">
        <v>107</v>
      </c>
      <c r="G149" s="63"/>
      <c r="H149" s="63"/>
      <c r="I149" s="131">
        <f>P127</f>
        <v>445.75064768573014</v>
      </c>
      <c r="J149" s="131">
        <f>P104</f>
        <v>403.44837812510991</v>
      </c>
      <c r="K149" s="131">
        <f>P81</f>
        <v>386.31522765901792</v>
      </c>
      <c r="L149" s="131">
        <f>P58</f>
        <v>346.08466350453875</v>
      </c>
      <c r="M149" s="131">
        <f>P35</f>
        <v>391.85663411827045</v>
      </c>
      <c r="N149" s="131"/>
      <c r="O149" s="110"/>
      <c r="P149" s="110"/>
      <c r="R149" s="110"/>
      <c r="S149" s="110"/>
      <c r="T149" s="110"/>
      <c r="V149" s="110"/>
      <c r="W149" s="110"/>
      <c r="X149" s="110"/>
      <c r="Y149" s="73"/>
    </row>
    <row r="150" spans="3:25" x14ac:dyDescent="0.2">
      <c r="C150" s="54" t="s">
        <v>257</v>
      </c>
      <c r="D150" s="21" t="s">
        <v>70</v>
      </c>
      <c r="E150" s="21" t="str">
        <f t="shared" si="128"/>
        <v>$millions</v>
      </c>
      <c r="F150" s="70">
        <f t="shared" ref="F150:F151" si="129">$F$8</f>
        <v>45444</v>
      </c>
      <c r="G150" s="63"/>
      <c r="H150" s="63"/>
      <c r="I150" s="131">
        <f>I149*IF($F149="nominal",LOOKUP($F150,'Lookup|Tables'!Nominal_to_Real,'Calc|CPI Indexes'!J$31:J$42),INDEX('Calc|CPI Indexes'!$C$14:$T$27,MATCH($F149,'Calc|CPI Indexes'!$C$14:$C$27,0),MATCH($F150,'Calc|CPI Indexes'!$C$14:$T$14,0)))</f>
        <v>542.09197705896054</v>
      </c>
      <c r="J150" s="131">
        <f>J149*IF($F149="nominal",LOOKUP($F150,'Lookup|Tables'!Nominal_to_Real,'Calc|CPI Indexes'!K$31:K$42),INDEX('Calc|CPI Indexes'!$C$14:$T$27,MATCH($F149,'Calc|CPI Indexes'!$C$14:$C$27,0),MATCH($F150,'Calc|CPI Indexes'!$C$14:$T$14,0)))</f>
        <v>487.63534896281777</v>
      </c>
      <c r="K150" s="131">
        <f>K149*IF($F149="nominal",LOOKUP($F150,'Lookup|Tables'!Nominal_to_Real,'Calc|CPI Indexes'!L$31:L$42),INDEX('Calc|CPI Indexes'!$C$14:$T$27,MATCH($F149,'Calc|CPI Indexes'!$C$14:$C$27,0),MATCH($F150,'Calc|CPI Indexes'!$C$14:$T$14,0)))</f>
        <v>458.99901916392054</v>
      </c>
      <c r="L150" s="131">
        <f>L149*IF($F149="nominal",LOOKUP($F150,'Lookup|Tables'!Nominal_to_Real,'Calc|CPI Indexes'!M$31:M$42),INDEX('Calc|CPI Indexes'!$C$14:$T$27,MATCH($F149,'Calc|CPI Indexes'!$C$14:$C$27,0),MATCH($F150,'Calc|CPI Indexes'!$C$14:$T$14,0)))</f>
        <v>391.65867769615352</v>
      </c>
      <c r="M150" s="131">
        <f>M149*IF($F149="nominal",LOOKUP($F150,'Lookup|Tables'!Nominal_to_Real,'Calc|CPI Indexes'!N$31:N$42),INDEX('Calc|CPI Indexes'!$C$14:$T$27,MATCH($F149,'Calc|CPI Indexes'!$C$14:$C$27,0),MATCH($F150,'Calc|CPI Indexes'!$C$14:$T$14,0)))</f>
        <v>418.01813134642128</v>
      </c>
      <c r="N150" s="131"/>
      <c r="O150" s="110"/>
      <c r="P150" s="110"/>
      <c r="R150" s="110"/>
      <c r="S150" s="156"/>
      <c r="T150" s="156"/>
      <c r="U150" s="156"/>
      <c r="V150" s="156"/>
      <c r="W150" s="156"/>
      <c r="X150" s="110"/>
      <c r="Y150" s="73"/>
    </row>
    <row r="151" spans="3:25" x14ac:dyDescent="0.2">
      <c r="C151" s="54" t="s">
        <v>258</v>
      </c>
      <c r="D151" s="21" t="s">
        <v>70</v>
      </c>
      <c r="E151" s="21" t="str">
        <f t="shared" si="128"/>
        <v>$millions</v>
      </c>
      <c r="F151" s="70">
        <f t="shared" si="129"/>
        <v>45444</v>
      </c>
      <c r="G151" s="63"/>
      <c r="H151" s="63"/>
      <c r="I151" s="131"/>
      <c r="J151" s="131"/>
      <c r="K151" s="131"/>
      <c r="L151" s="131"/>
      <c r="M151" s="131"/>
      <c r="N151" s="131">
        <f>AVERAGE(I150:M150)</f>
        <v>459.68063084565472</v>
      </c>
      <c r="O151" s="110"/>
      <c r="P151" s="110"/>
      <c r="R151" s="110"/>
      <c r="S151" s="110"/>
      <c r="T151" s="110"/>
      <c r="V151" s="110"/>
      <c r="W151" s="110"/>
      <c r="X151" s="110"/>
      <c r="Y151" s="73"/>
    </row>
    <row r="152" spans="3:25" x14ac:dyDescent="0.2">
      <c r="C152" s="54"/>
      <c r="F152" s="70"/>
      <c r="G152" s="63"/>
      <c r="H152" s="63"/>
      <c r="I152" s="131"/>
      <c r="J152" s="131"/>
      <c r="K152" s="131"/>
      <c r="L152" s="131"/>
      <c r="M152" s="131"/>
      <c r="N152" s="131"/>
      <c r="O152" s="110"/>
      <c r="P152" s="110"/>
      <c r="R152" s="110"/>
      <c r="S152" s="110"/>
      <c r="T152" s="110"/>
      <c r="V152" s="110"/>
      <c r="W152" s="110"/>
      <c r="X152" s="110"/>
      <c r="Y152" s="73"/>
    </row>
    <row r="153" spans="3:25" x14ac:dyDescent="0.2">
      <c r="C153" s="54" t="s">
        <v>259</v>
      </c>
      <c r="D153" s="21" t="s">
        <v>70</v>
      </c>
      <c r="E153" s="21" t="str">
        <f t="shared" si="128"/>
        <v>$millions</v>
      </c>
      <c r="F153" s="68" t="s">
        <v>107</v>
      </c>
      <c r="G153" s="63"/>
      <c r="H153" s="63"/>
      <c r="I153" s="131">
        <f>T127</f>
        <v>454.12926906106935</v>
      </c>
      <c r="J153" s="131">
        <f>T104</f>
        <v>411.42710467261924</v>
      </c>
      <c r="K153" s="131">
        <f>T81</f>
        <v>393.49022552070522</v>
      </c>
      <c r="L153" s="131">
        <f>T58</f>
        <v>348.82992487533483</v>
      </c>
      <c r="M153" s="131">
        <f>T35</f>
        <v>395.18177286782185</v>
      </c>
      <c r="N153" s="131"/>
      <c r="O153" s="110"/>
      <c r="P153" s="110"/>
      <c r="R153" s="110"/>
      <c r="S153" s="110"/>
      <c r="T153" s="110"/>
      <c r="V153" s="110"/>
      <c r="W153" s="110"/>
      <c r="X153" s="110"/>
      <c r="Y153" s="73"/>
    </row>
    <row r="154" spans="3:25" x14ac:dyDescent="0.2">
      <c r="C154" s="54" t="s">
        <v>259</v>
      </c>
      <c r="D154" s="21" t="s">
        <v>70</v>
      </c>
      <c r="E154" s="21" t="str">
        <f t="shared" si="128"/>
        <v>$millions</v>
      </c>
      <c r="F154" s="70">
        <f t="shared" ref="F154:F155" si="130">$F$8</f>
        <v>45444</v>
      </c>
      <c r="G154" s="63"/>
      <c r="H154" s="63"/>
      <c r="I154" s="131">
        <f>I153*IF($F153="nominal",LOOKUP($F154,'Lookup|Tables'!Nominal_to_Real,'Calc|CPI Indexes'!J$31:J$42),INDEX('Calc|CPI Indexes'!$C$14:$T$27,MATCH($F153,'Calc|CPI Indexes'!$C$14:$C$27,0),MATCH($F154,'Calc|CPI Indexes'!$C$14:$T$14,0)))</f>
        <v>552.28149321550995</v>
      </c>
      <c r="J154" s="131">
        <f>J153*IF($F153="nominal",LOOKUP($F154,'Lookup|Tables'!Nominal_to_Real,'Calc|CPI Indexes'!K$31:K$42),INDEX('Calc|CPI Indexes'!$C$14:$T$27,MATCH($F153,'Calc|CPI Indexes'!$C$14:$C$27,0),MATCH($F154,'Calc|CPI Indexes'!$C$14:$T$14,0)))</f>
        <v>497.27898446918505</v>
      </c>
      <c r="K154" s="131">
        <f>K153*IF($F153="nominal",LOOKUP($F154,'Lookup|Tables'!Nominal_to_Real,'Calc|CPI Indexes'!L$31:L$42),INDEX('Calc|CPI Indexes'!$C$14:$T$27,MATCH($F153,'Calc|CPI Indexes'!$C$14:$C$27,0),MATCH($F154,'Calc|CPI Indexes'!$C$14:$T$14,0)))</f>
        <v>467.52396652614192</v>
      </c>
      <c r="L154" s="131">
        <f>L153*IF($F153="nominal",LOOKUP($F154,'Lookup|Tables'!Nominal_to_Real,'Calc|CPI Indexes'!M$31:M$42),INDEX('Calc|CPI Indexes'!$C$14:$T$27,MATCH($F153,'Calc|CPI Indexes'!$C$14:$C$27,0),MATCH($F154,'Calc|CPI Indexes'!$C$14:$T$14,0)))</f>
        <v>394.76544766257888</v>
      </c>
      <c r="M154" s="131">
        <f>M153*IF($F153="nominal",LOOKUP($F154,'Lookup|Tables'!Nominal_to_Real,'Calc|CPI Indexes'!N$31:N$42),INDEX('Calc|CPI Indexes'!$C$14:$T$27,MATCH($F153,'Calc|CPI Indexes'!$C$14:$C$27,0),MATCH($F154,'Calc|CPI Indexes'!$C$14:$T$14,0)))</f>
        <v>421.56526610319952</v>
      </c>
      <c r="N154" s="131"/>
      <c r="O154" s="110"/>
      <c r="P154" s="110"/>
      <c r="R154" s="110"/>
      <c r="S154" s="156"/>
      <c r="T154" s="156"/>
      <c r="U154" s="156"/>
      <c r="V154" s="156"/>
      <c r="W154" s="156"/>
      <c r="X154" s="110"/>
      <c r="Y154" s="73"/>
    </row>
    <row r="155" spans="3:25" x14ac:dyDescent="0.2">
      <c r="C155" s="54" t="s">
        <v>260</v>
      </c>
      <c r="D155" s="21" t="s">
        <v>70</v>
      </c>
      <c r="E155" s="21" t="str">
        <f t="shared" si="128"/>
        <v>$millions</v>
      </c>
      <c r="F155" s="70">
        <f t="shared" si="130"/>
        <v>45444</v>
      </c>
      <c r="G155" s="63"/>
      <c r="H155" s="63"/>
      <c r="I155" s="131"/>
      <c r="J155" s="131"/>
      <c r="K155" s="131"/>
      <c r="L155" s="131"/>
      <c r="M155" s="131"/>
      <c r="N155" s="131">
        <f>AVERAGE(I154:M154)</f>
        <v>466.68303159532309</v>
      </c>
      <c r="O155" s="110"/>
      <c r="P155" s="110"/>
      <c r="R155" s="110"/>
      <c r="S155" s="156"/>
      <c r="T155" s="156"/>
      <c r="U155" s="156"/>
      <c r="V155" s="156"/>
      <c r="W155" s="156"/>
      <c r="X155" s="110"/>
      <c r="Y155" s="73"/>
    </row>
    <row r="156" spans="3:25" x14ac:dyDescent="0.2">
      <c r="C156" s="54"/>
      <c r="G156" s="63"/>
      <c r="H156" s="63"/>
      <c r="I156" s="131"/>
      <c r="J156" s="131"/>
      <c r="K156" s="131"/>
      <c r="L156" s="131"/>
      <c r="M156" s="131"/>
      <c r="N156" s="131"/>
      <c r="O156" s="110"/>
      <c r="P156" s="110"/>
      <c r="R156" s="110"/>
      <c r="S156" s="110"/>
      <c r="T156" s="110"/>
      <c r="V156" s="110"/>
      <c r="W156" s="110"/>
      <c r="X156" s="110"/>
      <c r="Y156" s="73"/>
    </row>
    <row r="157" spans="3:25" x14ac:dyDescent="0.2">
      <c r="C157" s="54" t="s">
        <v>261</v>
      </c>
      <c r="D157" s="21" t="s">
        <v>70</v>
      </c>
      <c r="E157" s="21" t="str">
        <f t="shared" si="128"/>
        <v>$millions</v>
      </c>
      <c r="F157" s="108" t="str">
        <f>F149</f>
        <v>nominal</v>
      </c>
      <c r="G157" s="63"/>
      <c r="H157" s="63"/>
      <c r="I157" s="131">
        <f>I153-I149</f>
        <v>8.3786213753392076</v>
      </c>
      <c r="J157" s="131">
        <f t="shared" ref="J157:M157" si="131">J153-J149</f>
        <v>7.978726547509325</v>
      </c>
      <c r="K157" s="131">
        <f t="shared" si="131"/>
        <v>7.1749978616873022</v>
      </c>
      <c r="L157" s="131">
        <f t="shared" si="131"/>
        <v>2.7452613707960722</v>
      </c>
      <c r="M157" s="131">
        <f t="shared" si="131"/>
        <v>3.3251387495513995</v>
      </c>
      <c r="N157" s="131"/>
      <c r="O157" s="110"/>
      <c r="P157" s="110"/>
      <c r="R157" s="110"/>
      <c r="S157" s="110"/>
      <c r="T157" s="110"/>
      <c r="V157" s="110"/>
      <c r="W157" s="110"/>
      <c r="X157" s="110"/>
      <c r="Y157" s="73"/>
    </row>
    <row r="158" spans="3:25" x14ac:dyDescent="0.2">
      <c r="C158" s="54" t="s">
        <v>261</v>
      </c>
      <c r="D158" s="21" t="s">
        <v>70</v>
      </c>
      <c r="E158" s="21" t="str">
        <f t="shared" si="128"/>
        <v>$millions</v>
      </c>
      <c r="F158" s="70">
        <f t="shared" ref="F158:F159" si="132">$F$8</f>
        <v>45444</v>
      </c>
      <c r="G158" s="63"/>
      <c r="H158" s="63"/>
      <c r="I158" s="131">
        <f>I157*IF($F157="nominal",LOOKUP($F158,'Lookup|Tables'!Nominal_to_Real,'Calc|CPI Indexes'!J$31:J$42),INDEX('Calc|CPI Indexes'!$C$14:$T$27,MATCH($F157,'Calc|CPI Indexes'!$C$14:$C$27,0),MATCH($F158,'Calc|CPI Indexes'!$C$14:$T$14,0)))</f>
        <v>10.189516156549381</v>
      </c>
      <c r="J158" s="131">
        <f>J157*IF($F157="nominal",LOOKUP($F158,'Lookup|Tables'!Nominal_to_Real,'Calc|CPI Indexes'!K$31:K$42),INDEX('Calc|CPI Indexes'!$C$14:$T$27,MATCH($F157,'Calc|CPI Indexes'!$C$14:$C$27,0),MATCH($F158,'Calc|CPI Indexes'!$C$14:$T$14,0)))</f>
        <v>9.6436355063672945</v>
      </c>
      <c r="K158" s="131">
        <f>K157*IF($F157="nominal",LOOKUP($F158,'Lookup|Tables'!Nominal_to_Real,'Calc|CPI Indexes'!L$31:L$42),INDEX('Calc|CPI Indexes'!$C$14:$T$27,MATCH($F157,'Calc|CPI Indexes'!$C$14:$C$27,0),MATCH($F158,'Calc|CPI Indexes'!$C$14:$T$14,0)))</f>
        <v>8.5249473622213845</v>
      </c>
      <c r="L158" s="131">
        <f>L157*IF($F157="nominal",LOOKUP($F158,'Lookup|Tables'!Nominal_to_Real,'Calc|CPI Indexes'!M$31:M$42),INDEX('Calc|CPI Indexes'!$C$14:$T$27,MATCH($F157,'Calc|CPI Indexes'!$C$14:$C$27,0),MATCH($F158,'Calc|CPI Indexes'!$C$14:$T$14,0)))</f>
        <v>3.1067699664253356</v>
      </c>
      <c r="M158" s="131">
        <f>M157*IF($F157="nominal",LOOKUP($F158,'Lookup|Tables'!Nominal_to_Real,'Calc|CPI Indexes'!N$31:N$42),INDEX('Calc|CPI Indexes'!$C$14:$T$27,MATCH($F157,'Calc|CPI Indexes'!$C$14:$C$27,0),MATCH($F158,'Calc|CPI Indexes'!$C$14:$T$14,0)))</f>
        <v>3.5471347567782425</v>
      </c>
      <c r="N158" s="131"/>
      <c r="O158" s="110"/>
      <c r="P158" s="110"/>
      <c r="R158" s="110"/>
      <c r="S158" s="156"/>
      <c r="T158" s="156"/>
      <c r="U158" s="156"/>
      <c r="V158" s="156"/>
      <c r="W158" s="156"/>
      <c r="X158" s="110"/>
      <c r="Y158" s="73"/>
    </row>
    <row r="159" spans="3:25" x14ac:dyDescent="0.2">
      <c r="C159" s="54" t="s">
        <v>262</v>
      </c>
      <c r="D159" s="21" t="s">
        <v>70</v>
      </c>
      <c r="E159" s="21" t="str">
        <f t="shared" si="128"/>
        <v>$millions</v>
      </c>
      <c r="F159" s="70">
        <f t="shared" si="132"/>
        <v>45444</v>
      </c>
      <c r="G159" s="63"/>
      <c r="H159" s="63"/>
      <c r="I159" s="131"/>
      <c r="J159" s="131"/>
      <c r="K159" s="131"/>
      <c r="L159" s="131"/>
      <c r="M159" s="131"/>
      <c r="N159" s="131">
        <f>AVERAGE(I158:M158)</f>
        <v>7.002400749668328</v>
      </c>
      <c r="O159" s="110"/>
      <c r="P159" s="110"/>
      <c r="R159" s="110"/>
      <c r="S159" s="110"/>
      <c r="T159" s="110"/>
      <c r="V159" s="110"/>
      <c r="W159" s="110"/>
      <c r="X159" s="110"/>
      <c r="Y159" s="73"/>
    </row>
    <row r="160" spans="3:25" x14ac:dyDescent="0.2">
      <c r="C160" s="54"/>
      <c r="F160" s="70"/>
      <c r="G160" s="63"/>
      <c r="H160" s="63"/>
      <c r="I160" s="63"/>
      <c r="J160" s="131"/>
      <c r="K160" s="131"/>
      <c r="L160" s="131"/>
      <c r="M160" s="131"/>
      <c r="N160" s="131"/>
      <c r="O160" s="110"/>
      <c r="P160" s="110"/>
      <c r="R160" s="110"/>
      <c r="S160" s="110"/>
      <c r="T160" s="110"/>
      <c r="V160" s="110"/>
      <c r="W160" s="110"/>
      <c r="X160" s="110"/>
      <c r="Y160" s="73"/>
    </row>
    <row r="161" spans="1:32" x14ac:dyDescent="0.2">
      <c r="C161" s="54"/>
      <c r="D161" s="63"/>
      <c r="E161" s="63"/>
      <c r="F161" s="63"/>
      <c r="G161" s="63"/>
      <c r="H161" s="63"/>
      <c r="I161" s="63"/>
      <c r="J161" s="63"/>
      <c r="K161" s="63"/>
      <c r="L161" s="63"/>
      <c r="M161" s="63"/>
      <c r="N161" s="107"/>
      <c r="O161" s="107"/>
      <c r="P161" s="107"/>
      <c r="Q161" s="107"/>
      <c r="R161" s="107"/>
      <c r="S161" s="107"/>
    </row>
    <row r="162" spans="1:32" s="19" customFormat="1" ht="13" x14ac:dyDescent="0.3">
      <c r="A162" s="12"/>
      <c r="B162" s="13" t="s">
        <v>41</v>
      </c>
      <c r="C162" s="12"/>
      <c r="D162" s="12"/>
      <c r="E162" s="12"/>
      <c r="F162" s="14"/>
      <c r="G162" s="14"/>
      <c r="H162" s="14"/>
      <c r="I162" s="14"/>
      <c r="J162" s="15"/>
      <c r="K162" s="16"/>
      <c r="L162" s="15"/>
      <c r="M162" s="16"/>
      <c r="N162" s="15"/>
      <c r="O162" s="15"/>
      <c r="P162" s="15"/>
      <c r="Q162" s="15"/>
      <c r="R162" s="15"/>
      <c r="S162" s="15"/>
      <c r="T162" s="15"/>
      <c r="U162" s="15"/>
      <c r="V162" s="16"/>
      <c r="W162" s="16"/>
      <c r="X162" s="16"/>
      <c r="Y162" s="16"/>
      <c r="Z162" s="17"/>
      <c r="AA162" s="17"/>
      <c r="AB162" s="17"/>
      <c r="AC162" s="17"/>
      <c r="AD162" s="17"/>
      <c r="AE162" s="18"/>
      <c r="AF162" s="18"/>
    </row>
    <row r="163" spans="1:32" x14ac:dyDescent="0.2"/>
    <row r="164" spans="1:32" x14ac:dyDescent="0.2"/>
    <row r="165" spans="1:32" x14ac:dyDescent="0.2"/>
    <row r="166" spans="1:32" x14ac:dyDescent="0.2"/>
    <row r="167" spans="1:32" x14ac:dyDescent="0.2"/>
    <row r="168" spans="1:32" x14ac:dyDescent="0.2"/>
    <row r="169" spans="1:32" x14ac:dyDescent="0.2"/>
    <row r="170" spans="1:32" x14ac:dyDescent="0.2"/>
    <row r="171" spans="1:32" x14ac:dyDescent="0.2"/>
    <row r="172" spans="1:32" x14ac:dyDescent="0.2"/>
    <row r="173" spans="1:32" x14ac:dyDescent="0.2"/>
    <row r="174" spans="1:32" x14ac:dyDescent="0.2"/>
    <row r="175" spans="1:32" x14ac:dyDescent="0.2"/>
    <row r="176" spans="1:32"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sheetData>
  <mergeCells count="16">
    <mergeCell ref="N3:S3"/>
    <mergeCell ref="N31:P31"/>
    <mergeCell ref="R31:T31"/>
    <mergeCell ref="V31:X31"/>
    <mergeCell ref="N54:P54"/>
    <mergeCell ref="R54:T54"/>
    <mergeCell ref="V54:X54"/>
    <mergeCell ref="N123:P123"/>
    <mergeCell ref="R123:T123"/>
    <mergeCell ref="V123:X123"/>
    <mergeCell ref="N77:P77"/>
    <mergeCell ref="R77:T77"/>
    <mergeCell ref="V77:X77"/>
    <mergeCell ref="N100:P100"/>
    <mergeCell ref="R100:T100"/>
    <mergeCell ref="V100:X100"/>
  </mergeCells>
  <dataValidations count="1">
    <dataValidation type="list" allowBlank="1" showInputMessage="1" showErrorMessage="1" sqref="F161" xr:uid="{FBA396E0-488C-45EB-8744-DDAE258A4728}">
      <formula1>"Real 2010,Real 2011,Real 2012,Real 2013,Real 2014,Real 2015,Nominal"</formula1>
    </dataValidation>
  </dataValidations>
  <pageMargins left="0.7" right="0.7" top="0.75" bottom="0.75" header="0.3" footer="0.3"/>
  <pageSetup paperSize="9" orientation="portrait" verticalDpi="4" r:id="rId1"/>
  <headerFooter>
    <oddFooter>&amp;L&amp;1#&amp;"Calibri"&amp;8&amp;K000000For Official use only</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F20CF-A442-4ECF-BDD5-60D9800AE2B7}">
  <sheetPr codeName="Sheet13">
    <tabColor theme="4" tint="0.59999389629810485"/>
  </sheetPr>
  <dimension ref="A1:AU28"/>
  <sheetViews>
    <sheetView showGridLines="0" zoomScaleNormal="100" workbookViewId="0"/>
  </sheetViews>
  <sheetFormatPr defaultColWidth="0" defaultRowHeight="10.25" customHeight="1" zeroHeight="1" x14ac:dyDescent="0.2"/>
  <cols>
    <col min="1" max="2" width="1.1796875" style="20" customWidth="1"/>
    <col min="3" max="3" width="48.81640625" style="20" bestFit="1" customWidth="1"/>
    <col min="4" max="4" width="22.54296875" style="21" customWidth="1"/>
    <col min="5" max="5" width="12.81640625" style="21" customWidth="1"/>
    <col min="6" max="6" width="8.81640625" style="21" customWidth="1"/>
    <col min="7" max="9" width="2.81640625" style="21" customWidth="1"/>
    <col min="10" max="23" width="8.81640625" style="20" customWidth="1"/>
    <col min="24" max="47" width="0" style="20" hidden="1" customWidth="1"/>
    <col min="48" max="16384" width="8.54296875" style="20" hidden="1"/>
  </cols>
  <sheetData>
    <row r="1" spans="1:26" s="1" customFormat="1" ht="15.5" x14ac:dyDescent="0.35">
      <c r="B1" s="2" t="s">
        <v>42</v>
      </c>
      <c r="C1" s="2"/>
      <c r="D1" s="2"/>
      <c r="E1" s="2"/>
      <c r="F1" s="3"/>
      <c r="G1" s="3"/>
      <c r="H1" s="3"/>
      <c r="I1" s="3"/>
      <c r="J1" s="3"/>
      <c r="L1" s="4" t="s">
        <v>58</v>
      </c>
      <c r="M1" s="5" t="s">
        <v>59</v>
      </c>
      <c r="N1" s="6" t="s">
        <v>61</v>
      </c>
    </row>
    <row r="2" spans="1:26" s="7" customFormat="1" ht="13.5" thickBot="1" x14ac:dyDescent="0.35">
      <c r="B2" s="8" t="s">
        <v>263</v>
      </c>
      <c r="C2" s="8"/>
      <c r="D2" s="8"/>
      <c r="E2" s="8"/>
      <c r="F2" s="9"/>
      <c r="G2" s="9"/>
      <c r="H2" s="9"/>
      <c r="I2" s="9"/>
    </row>
    <row r="3" spans="1:26" s="38" customFormat="1" ht="14.75" customHeight="1" x14ac:dyDescent="0.25">
      <c r="D3" s="39"/>
      <c r="E3" s="39"/>
      <c r="F3" s="39"/>
      <c r="G3" s="39"/>
      <c r="H3" s="39"/>
      <c r="I3" s="39"/>
      <c r="J3" s="64" t="s">
        <v>50</v>
      </c>
      <c r="K3" s="64"/>
      <c r="L3" s="64"/>
      <c r="M3" s="39"/>
      <c r="N3" s="202"/>
      <c r="O3" s="202"/>
      <c r="P3" s="202"/>
      <c r="Q3" s="202"/>
      <c r="R3" s="202"/>
      <c r="S3" s="202"/>
      <c r="T3" s="41"/>
      <c r="U3" s="41"/>
      <c r="V3" s="41"/>
      <c r="W3" s="41"/>
      <c r="X3" s="41"/>
      <c r="Y3" s="41"/>
      <c r="Z3" s="41"/>
    </row>
    <row r="4" spans="1:26" s="19" customFormat="1" ht="10" x14ac:dyDescent="0.2">
      <c r="A4" s="42"/>
      <c r="B4" s="42"/>
      <c r="C4" s="42"/>
      <c r="D4" s="43" t="s">
        <v>45</v>
      </c>
      <c r="E4" s="43" t="s">
        <v>72</v>
      </c>
      <c r="F4" s="44" t="s">
        <v>78</v>
      </c>
      <c r="G4" s="45"/>
      <c r="H4" s="45"/>
      <c r="I4" s="45"/>
      <c r="J4" s="46">
        <f>DATE(PPFirstYear,MONTH('Input|General'!$G$9),1)</f>
        <v>43983</v>
      </c>
      <c r="K4" s="46">
        <f>DATE(PPFirstYear+1,MONTH('Input|General'!$G$9),1)</f>
        <v>44348</v>
      </c>
      <c r="L4" s="46">
        <f>DATE(PPFirstYear+2,MONTH('Input|General'!$G$9),1)</f>
        <v>44713</v>
      </c>
      <c r="M4" s="46">
        <f>DATE(PPFirstYear+3,MONTH('Input|General'!$G$9),1)</f>
        <v>45078</v>
      </c>
      <c r="N4" s="46">
        <f>DATE(PPFirstYear+4,MONTH('Input|General'!$G$9),1)</f>
        <v>45444</v>
      </c>
      <c r="O4" s="46">
        <f>DATE(PPFirstYear+5,MONTH('Input|General'!$G$9),1)</f>
        <v>45809</v>
      </c>
      <c r="P4" s="46">
        <f>DATE(PPFirstYear+6,MONTH('Input|General'!$G$9),1)</f>
        <v>46174</v>
      </c>
      <c r="Q4" s="46">
        <f>DATE(PPFirstYear+7,MONTH('Input|General'!$G$9),1)</f>
        <v>46539</v>
      </c>
      <c r="R4" s="46">
        <f>DATE(PPFirstYear+8,MONTH('Input|General'!$G$9),1)</f>
        <v>46905</v>
      </c>
      <c r="S4" s="46">
        <f>DATE(PPFirstYear+9,MONTH('Input|General'!$G$9),1)</f>
        <v>47270</v>
      </c>
      <c r="T4" s="47"/>
      <c r="U4" s="47"/>
      <c r="V4" s="48"/>
      <c r="W4" s="48"/>
    </row>
    <row r="5" spans="1:26" s="10" customFormat="1" ht="3" customHeight="1" x14ac:dyDescent="0.2">
      <c r="D5" s="11"/>
      <c r="E5" s="11"/>
      <c r="F5" s="11"/>
      <c r="G5" s="11"/>
      <c r="H5" s="11"/>
      <c r="I5" s="11"/>
    </row>
    <row r="6" spans="1:26" s="10" customFormat="1" ht="9" customHeight="1" x14ac:dyDescent="0.2">
      <c r="D6" s="11"/>
      <c r="E6" s="11"/>
      <c r="F6" s="11"/>
      <c r="G6" s="11"/>
      <c r="H6" s="11"/>
      <c r="I6" s="11"/>
    </row>
    <row r="7" spans="1:26" s="10" customFormat="1" ht="3" customHeight="1" x14ac:dyDescent="0.2">
      <c r="D7" s="11"/>
      <c r="E7" s="11"/>
      <c r="F7" s="11"/>
      <c r="G7" s="11"/>
      <c r="H7" s="11"/>
      <c r="I7" s="11"/>
    </row>
    <row r="8" spans="1:26" s="19" customFormat="1" ht="13" x14ac:dyDescent="0.3">
      <c r="A8" s="12"/>
      <c r="B8" s="13" t="s">
        <v>264</v>
      </c>
      <c r="C8" s="12"/>
      <c r="D8" s="12"/>
      <c r="E8" s="65" t="s">
        <v>87</v>
      </c>
      <c r="F8" s="66">
        <f>DATE(PPLastYear,MONTH('Input|General'!$G$9),1)</f>
        <v>45444</v>
      </c>
      <c r="G8" s="14"/>
      <c r="H8" s="14"/>
      <c r="I8" s="14"/>
      <c r="J8" s="98" t="s">
        <v>265</v>
      </c>
      <c r="K8" s="16"/>
      <c r="L8" s="15"/>
      <c r="M8" s="16"/>
      <c r="N8" s="15"/>
      <c r="O8" s="15"/>
      <c r="P8" s="15"/>
      <c r="Q8" s="15"/>
      <c r="R8" s="15"/>
      <c r="S8" s="15"/>
      <c r="T8" s="15"/>
      <c r="U8" s="15"/>
      <c r="V8" s="16"/>
      <c r="W8" s="16"/>
    </row>
    <row r="9" spans="1:26" ht="4.5" customHeight="1" x14ac:dyDescent="0.2"/>
    <row r="10" spans="1:26" ht="10" x14ac:dyDescent="0.2">
      <c r="M10" s="63"/>
      <c r="N10" s="63"/>
      <c r="O10" s="63"/>
      <c r="P10" s="63"/>
      <c r="Q10" s="63"/>
      <c r="R10" s="63"/>
      <c r="S10" s="63"/>
    </row>
    <row r="11" spans="1:26" ht="10.5" x14ac:dyDescent="0.25">
      <c r="C11" s="29" t="s">
        <v>266</v>
      </c>
      <c r="D11" s="23" t="s">
        <v>45</v>
      </c>
      <c r="E11" s="23" t="s">
        <v>72</v>
      </c>
      <c r="F11" s="23" t="s">
        <v>78</v>
      </c>
      <c r="H11" s="23"/>
      <c r="I11" s="23"/>
      <c r="J11" s="61" t="str">
        <f>IF(YEAR(J$4)&gt;='Input|General'!$G$13,IF(YEAR(J$4)&lt;='Input|General'!$G$14,J$4,""),"")</f>
        <v/>
      </c>
      <c r="K11" s="61" t="str">
        <f>IF(YEAR(K$4)&gt;='Input|General'!$G$13,IF(YEAR(K$4)&lt;='Input|General'!$G$14,K$4,""),"")</f>
        <v/>
      </c>
      <c r="L11" s="61" t="str">
        <f>IF(YEAR(L$4)&gt;='Input|General'!$G$13,IF(YEAR(L$4)&lt;='Input|General'!$G$14,L$4,""),"")</f>
        <v/>
      </c>
      <c r="M11" s="61" t="str">
        <f>IF(YEAR(M$4)&gt;='Input|General'!$G$13,IF(YEAR(M$4)&lt;='Input|General'!$G$14,M$4,""),"")</f>
        <v/>
      </c>
      <c r="N11" s="61" t="str">
        <f>IF(YEAR(N$4)&gt;='Input|General'!$G$13,IF(YEAR(N$4)&lt;='Input|General'!$G$14,N$4,""),"")</f>
        <v/>
      </c>
      <c r="O11" s="61">
        <f>IF(YEAR(O$4)&gt;=FPFirstYear,IF(YEAR(O$4)&lt;=FPLastYear,O$4,""),"")</f>
        <v>45809</v>
      </c>
      <c r="P11" s="61">
        <f>IF(YEAR(P$4)&gt;=FPFirstYear,IF(YEAR(P$4)&lt;=FPLastYear,P$4,""),"")</f>
        <v>46174</v>
      </c>
      <c r="Q11" s="61">
        <f>IF(YEAR(Q$4)&gt;=FPFirstYear,IF(YEAR(Q$4)&lt;=FPLastYear,Q$4,""),"")</f>
        <v>46539</v>
      </c>
      <c r="R11" s="61">
        <f>IF(YEAR(R$4)&gt;=FPFirstYear,IF(YEAR(R$4)&lt;=FPLastYear,R$4,""),"")</f>
        <v>46905</v>
      </c>
      <c r="S11" s="61">
        <f>IF(YEAR(S$4)&gt;=FPFirstYear,IF(YEAR(S$4)&lt;=FPLastYear,S$4,""),"")</f>
        <v>47270</v>
      </c>
      <c r="U11" s="99" t="s">
        <v>267</v>
      </c>
      <c r="V11" s="100"/>
      <c r="W11" s="100"/>
    </row>
    <row r="12" spans="1:26" ht="10.5" x14ac:dyDescent="0.25">
      <c r="C12" s="29"/>
      <c r="D12" s="23"/>
      <c r="E12" s="23"/>
      <c r="F12" s="23"/>
      <c r="H12" s="23"/>
      <c r="I12" s="23"/>
      <c r="J12" s="61"/>
      <c r="K12" s="61"/>
      <c r="L12" s="61"/>
      <c r="M12" s="61"/>
      <c r="N12" s="61"/>
      <c r="O12" s="61"/>
      <c r="P12" s="61"/>
      <c r="Q12" s="61"/>
      <c r="R12" s="61"/>
      <c r="S12" s="61"/>
      <c r="U12" s="29"/>
    </row>
    <row r="13" spans="1:26" ht="10" x14ac:dyDescent="0.2">
      <c r="C13" s="54" t="s">
        <v>89</v>
      </c>
      <c r="D13" s="101"/>
      <c r="E13" s="21" t="str">
        <f>$E$8</f>
        <v>$millions</v>
      </c>
      <c r="F13" s="70">
        <f>$F$8</f>
        <v>45444</v>
      </c>
      <c r="H13" s="23"/>
      <c r="I13" s="23"/>
      <c r="J13" s="102"/>
      <c r="K13" s="102"/>
      <c r="L13" s="102"/>
      <c r="M13" s="102"/>
      <c r="N13" s="102"/>
      <c r="O13" s="103">
        <f>'Calc|Cyber security'!O29</f>
        <v>2.0057154791690022</v>
      </c>
      <c r="P13" s="103">
        <f>'Calc|Cyber security'!P29</f>
        <v>3.0473871477793062</v>
      </c>
      <c r="Q13" s="103">
        <f>'Calc|Cyber security'!Q29</f>
        <v>3.9633210081693928</v>
      </c>
      <c r="R13" s="103">
        <f>'Calc|Cyber security'!R29</f>
        <v>4.3303026039513668</v>
      </c>
      <c r="S13" s="103">
        <f>'Calc|Cyber security'!S29</f>
        <v>4.716724178153104</v>
      </c>
      <c r="T13" s="54"/>
      <c r="U13" s="37"/>
    </row>
    <row r="14" spans="1:26" ht="10" x14ac:dyDescent="0.2">
      <c r="C14" s="54" t="s">
        <v>106</v>
      </c>
      <c r="D14" s="101"/>
      <c r="E14" s="21" t="str">
        <f t="shared" ref="E14:E18" si="0">$E$8</f>
        <v>$millions</v>
      </c>
      <c r="F14" s="70">
        <f t="shared" ref="F14:F18" si="1">$F$8</f>
        <v>45444</v>
      </c>
      <c r="H14" s="23"/>
      <c r="I14" s="23"/>
      <c r="J14" s="102"/>
      <c r="K14" s="102"/>
      <c r="L14" s="102"/>
      <c r="M14" s="102"/>
      <c r="N14" s="102"/>
      <c r="O14" s="102">
        <f>'Calc|Insurance premiums'!O29</f>
        <v>1.7482582596513048</v>
      </c>
      <c r="P14" s="102">
        <f>'Calc|Insurance premiums'!P29</f>
        <v>2.3672239792276386</v>
      </c>
      <c r="Q14" s="102">
        <f>'Calc|Insurance premiums'!Q29</f>
        <v>2.6076301872538323</v>
      </c>
      <c r="R14" s="102">
        <f>'Calc|Insurance premiums'!R29</f>
        <v>2.5498830060891926</v>
      </c>
      <c r="S14" s="102">
        <f>'Calc|Insurance premiums'!S29</f>
        <v>2.0752050740813459</v>
      </c>
      <c r="T14" s="54"/>
      <c r="U14" s="37"/>
    </row>
    <row r="15" spans="1:26" ht="10" x14ac:dyDescent="0.2">
      <c r="C15" s="54" t="s">
        <v>147</v>
      </c>
      <c r="D15" s="101"/>
      <c r="E15" s="21" t="str">
        <f t="shared" si="0"/>
        <v>$millions</v>
      </c>
      <c r="F15" s="70">
        <f t="shared" si="1"/>
        <v>45444</v>
      </c>
      <c r="H15" s="23"/>
      <c r="I15" s="23"/>
      <c r="J15" s="102"/>
      <c r="K15" s="102"/>
      <c r="L15" s="102"/>
      <c r="M15" s="102"/>
      <c r="N15" s="102"/>
      <c r="O15" s="102">
        <f>'Calc|Climate resilience'!O29</f>
        <v>0.76049999999999995</v>
      </c>
      <c r="P15" s="102">
        <f>'Calc|Climate resilience'!P29</f>
        <v>1.5794999999999999</v>
      </c>
      <c r="Q15" s="102">
        <f>'Calc|Climate resilience'!Q29</f>
        <v>1.17</v>
      </c>
      <c r="R15" s="102">
        <f>'Calc|Climate resilience'!R29</f>
        <v>1.17</v>
      </c>
      <c r="S15" s="102">
        <f>'Calc|Climate resilience'!S29</f>
        <v>1.17</v>
      </c>
      <c r="T15" s="54"/>
      <c r="U15" s="37"/>
    </row>
    <row r="16" spans="1:26" ht="10" x14ac:dyDescent="0.2">
      <c r="C16" s="54" t="s">
        <v>166</v>
      </c>
      <c r="D16" s="101"/>
      <c r="E16" s="21" t="str">
        <f t="shared" si="0"/>
        <v>$millions</v>
      </c>
      <c r="F16" s="70">
        <f t="shared" si="1"/>
        <v>45444</v>
      </c>
      <c r="H16" s="23"/>
      <c r="I16" s="23"/>
      <c r="J16" s="102"/>
      <c r="K16" s="102"/>
      <c r="L16" s="102"/>
      <c r="M16" s="102"/>
      <c r="N16" s="102"/>
      <c r="O16" s="102">
        <f>'Calc|Smart meter data'!O29</f>
        <v>2.8177808423999999</v>
      </c>
      <c r="P16" s="102">
        <f>'Calc|Smart meter data'!P29</f>
        <v>3.268714818307429</v>
      </c>
      <c r="Q16" s="102">
        <f>'Calc|Smart meter data'!Q29</f>
        <v>1.1267742797218101</v>
      </c>
      <c r="R16" s="102">
        <f>'Calc|Smart meter data'!R29</f>
        <v>1.3714193119403175</v>
      </c>
      <c r="S16" s="102">
        <f>'Calc|Smart meter data'!S29</f>
        <v>1.6185154059301499</v>
      </c>
      <c r="T16" s="54"/>
      <c r="U16" s="37"/>
    </row>
    <row r="17" spans="1:23" ht="10" x14ac:dyDescent="0.2">
      <c r="C17" s="54" t="s">
        <v>268</v>
      </c>
      <c r="D17" s="101"/>
      <c r="E17" s="21" t="str">
        <f t="shared" si="0"/>
        <v>$millions</v>
      </c>
      <c r="F17" s="70">
        <f t="shared" si="1"/>
        <v>45444</v>
      </c>
      <c r="H17" s="23"/>
      <c r="I17" s="23"/>
      <c r="J17" s="102"/>
      <c r="K17" s="102"/>
      <c r="L17" s="102"/>
      <c r="M17" s="102"/>
      <c r="N17" s="102"/>
      <c r="O17" s="102">
        <f>'Calc|ICT enablement for CER'!O29</f>
        <v>0.38884752418715307</v>
      </c>
      <c r="P17" s="102">
        <f>'Calc|ICT enablement for CER'!P29</f>
        <v>1.0670239689135608</v>
      </c>
      <c r="Q17" s="102">
        <f>'Calc|ICT enablement for CER'!Q29</f>
        <v>1.6206373931800162</v>
      </c>
      <c r="R17" s="102">
        <f>'Calc|ICT enablement for CER'!R29</f>
        <v>1.6250311505154642</v>
      </c>
      <c r="S17" s="102">
        <f>'Calc|ICT enablement for CER'!S29</f>
        <v>1.6843468745440131</v>
      </c>
      <c r="T17" s="54"/>
      <c r="U17" s="37"/>
    </row>
    <row r="18" spans="1:23" ht="10" x14ac:dyDescent="0.2">
      <c r="C18" s="54" t="s">
        <v>269</v>
      </c>
      <c r="D18" s="101"/>
      <c r="E18" s="21" t="str">
        <f t="shared" si="0"/>
        <v>$millions</v>
      </c>
      <c r="F18" s="70">
        <f t="shared" si="1"/>
        <v>45444</v>
      </c>
      <c r="H18" s="23"/>
      <c r="I18" s="23"/>
      <c r="J18" s="102"/>
      <c r="K18" s="102"/>
      <c r="L18" s="102"/>
      <c r="M18" s="102"/>
      <c r="N18" s="102"/>
      <c r="O18" s="102">
        <f>'Calc|Property'!O29</f>
        <v>-3.0699666183083574</v>
      </c>
      <c r="P18" s="102">
        <f>'Calc|Property'!P29</f>
        <v>-3.0699666183083574</v>
      </c>
      <c r="Q18" s="102">
        <f>'Calc|Property'!Q29</f>
        <v>-3.0699666183083574</v>
      </c>
      <c r="R18" s="102">
        <f>'Calc|Property'!R29</f>
        <v>-3.0699666183083574</v>
      </c>
      <c r="S18" s="102">
        <f>'Calc|Property'!S29</f>
        <v>-3.0699666183083574</v>
      </c>
      <c r="T18" s="54"/>
      <c r="U18" s="104"/>
    </row>
    <row r="19" spans="1:23" ht="10.5" x14ac:dyDescent="0.2">
      <c r="D19" s="101"/>
      <c r="H19" s="23"/>
      <c r="I19" s="23"/>
      <c r="S19" s="62"/>
    </row>
    <row r="20" spans="1:23" ht="10" x14ac:dyDescent="0.2">
      <c r="D20" s="101"/>
      <c r="H20" s="23"/>
      <c r="I20" s="23"/>
    </row>
    <row r="21" spans="1:23" s="19" customFormat="1" ht="13" x14ac:dyDescent="0.3">
      <c r="A21" s="12"/>
      <c r="B21" s="13" t="s">
        <v>41</v>
      </c>
      <c r="C21" s="12"/>
      <c r="D21" s="12"/>
      <c r="E21" s="12"/>
      <c r="F21" s="14"/>
      <c r="G21" s="14"/>
      <c r="H21" s="14"/>
      <c r="I21" s="14"/>
      <c r="J21" s="15"/>
      <c r="K21" s="16"/>
      <c r="L21" s="15"/>
      <c r="M21" s="16"/>
      <c r="N21" s="15"/>
      <c r="O21" s="15"/>
      <c r="P21" s="15"/>
      <c r="Q21" s="15"/>
      <c r="R21" s="15"/>
      <c r="S21" s="15"/>
      <c r="T21" s="15"/>
      <c r="U21" s="15"/>
      <c r="V21" s="16"/>
      <c r="W21" s="16"/>
    </row>
    <row r="27" spans="1:23" ht="10" hidden="1" x14ac:dyDescent="0.2">
      <c r="M27" s="60"/>
      <c r="N27" s="60"/>
      <c r="O27" s="60"/>
      <c r="P27" s="60"/>
      <c r="Q27" s="60"/>
      <c r="R27" s="60"/>
      <c r="S27" s="60"/>
    </row>
    <row r="28" spans="1:23" ht="10.25" customHeight="1" x14ac:dyDescent="0.2"/>
  </sheetData>
  <mergeCells count="1">
    <mergeCell ref="N3:S3"/>
  </mergeCells>
  <conditionalFormatting sqref="J11:S11">
    <cfRule type="expression" dxfId="15" priority="15">
      <formula>J$11=J$4</formula>
    </cfRule>
  </conditionalFormatting>
  <conditionalFormatting sqref="J13:S18">
    <cfRule type="expression" dxfId="14" priority="12">
      <formula>AND($C13=0,J$11=J$4)</formula>
    </cfRule>
    <cfRule type="expression" dxfId="13" priority="13">
      <formula>NOT(J$11=J$4)</formula>
    </cfRule>
    <cfRule type="expression" dxfId="12" priority="14">
      <formula>J$11=J$4</formula>
    </cfRule>
  </conditionalFormatting>
  <dataValidations count="1">
    <dataValidation type="list" allowBlank="1" showInputMessage="1" showErrorMessage="1" sqref="F19:F20" xr:uid="{ED23FBC8-D1FD-493A-8592-0F418E5FACAB}">
      <formula1>#REF!</formula1>
    </dataValidation>
  </dataValidations>
  <pageMargins left="0.7" right="0.7" top="0.75" bottom="0.75" header="0.3" footer="0.3"/>
  <pageSetup paperSize="9" orientation="portrait" verticalDpi="4" r:id="rId1"/>
  <headerFooter>
    <oddFooter>&amp;L&amp;1#&amp;"Calibri"&amp;8&amp;K000000For Official use only</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BCFF9-6A7F-4C8D-8096-073379460C22}">
  <sheetPr>
    <tabColor theme="4" tint="0.59999389629810485"/>
  </sheetPr>
  <dimension ref="A1:AU22"/>
  <sheetViews>
    <sheetView showGridLines="0" zoomScaleNormal="100" workbookViewId="0"/>
  </sheetViews>
  <sheetFormatPr defaultColWidth="0" defaultRowHeight="10.25" customHeight="1" zeroHeight="1" x14ac:dyDescent="0.2"/>
  <cols>
    <col min="1" max="2" width="1.1796875" style="20" customWidth="1"/>
    <col min="3" max="3" width="48.81640625" style="20" bestFit="1" customWidth="1"/>
    <col min="4" max="4" width="22.54296875" style="21" customWidth="1"/>
    <col min="5" max="5" width="12.81640625" style="21" customWidth="1"/>
    <col min="6" max="6" width="8.81640625" style="21" customWidth="1"/>
    <col min="7" max="9" width="2.81640625" style="21" customWidth="1"/>
    <col min="10" max="23" width="8.81640625" style="20" customWidth="1"/>
    <col min="24" max="47" width="0" style="20" hidden="1" customWidth="1"/>
    <col min="48" max="16384" width="8.54296875" style="20" hidden="1"/>
  </cols>
  <sheetData>
    <row r="1" spans="1:26" s="1" customFormat="1" ht="15.5" x14ac:dyDescent="0.35">
      <c r="B1" s="2" t="s">
        <v>42</v>
      </c>
      <c r="C1" s="2"/>
      <c r="D1" s="2"/>
      <c r="E1" s="2"/>
      <c r="F1" s="3"/>
      <c r="G1" s="3"/>
      <c r="H1" s="3"/>
      <c r="I1" s="3"/>
      <c r="J1" s="3"/>
      <c r="L1" s="4" t="s">
        <v>58</v>
      </c>
      <c r="M1" s="5" t="s">
        <v>59</v>
      </c>
      <c r="N1" s="6" t="s">
        <v>61</v>
      </c>
    </row>
    <row r="2" spans="1:26" s="7" customFormat="1" ht="13.5" thickBot="1" x14ac:dyDescent="0.35">
      <c r="B2" s="8" t="s">
        <v>270</v>
      </c>
      <c r="C2" s="8"/>
      <c r="D2" s="8"/>
      <c r="E2" s="8"/>
      <c r="F2" s="9"/>
      <c r="G2" s="9"/>
      <c r="H2" s="9"/>
      <c r="I2" s="9"/>
    </row>
    <row r="3" spans="1:26" s="38" customFormat="1" ht="14.75" customHeight="1" x14ac:dyDescent="0.25">
      <c r="D3" s="39"/>
      <c r="E3" s="39"/>
      <c r="F3" s="39"/>
      <c r="G3" s="39"/>
      <c r="H3" s="39"/>
      <c r="I3" s="39"/>
      <c r="J3" s="64" t="s">
        <v>50</v>
      </c>
      <c r="K3" s="64"/>
      <c r="L3" s="64"/>
      <c r="M3" s="39"/>
      <c r="N3" s="202"/>
      <c r="O3" s="202"/>
      <c r="P3" s="202"/>
      <c r="Q3" s="202"/>
      <c r="R3" s="202"/>
      <c r="S3" s="202"/>
      <c r="T3" s="41"/>
      <c r="U3" s="41"/>
      <c r="V3" s="41"/>
      <c r="W3" s="41"/>
      <c r="X3" s="41"/>
      <c r="Y3" s="41"/>
      <c r="Z3" s="41"/>
    </row>
    <row r="4" spans="1:26" s="19" customFormat="1" ht="10" x14ac:dyDescent="0.2">
      <c r="A4" s="42"/>
      <c r="B4" s="42"/>
      <c r="C4" s="42"/>
      <c r="D4" s="43" t="s">
        <v>45</v>
      </c>
      <c r="E4" s="43" t="s">
        <v>72</v>
      </c>
      <c r="F4" s="44" t="s">
        <v>78</v>
      </c>
      <c r="G4" s="45"/>
      <c r="H4" s="45"/>
      <c r="I4" s="45"/>
      <c r="J4" s="46">
        <f>DATE(PPFirstYear,MONTH('Input|General'!$G$9),1)</f>
        <v>43983</v>
      </c>
      <c r="K4" s="46">
        <f>DATE(PPFirstYear+1,MONTH('Input|General'!$G$9),1)</f>
        <v>44348</v>
      </c>
      <c r="L4" s="46">
        <f>DATE(PPFirstYear+2,MONTH('Input|General'!$G$9),1)</f>
        <v>44713</v>
      </c>
      <c r="M4" s="46">
        <f>DATE(PPFirstYear+3,MONTH('Input|General'!$G$9),1)</f>
        <v>45078</v>
      </c>
      <c r="N4" s="46">
        <f>DATE(PPFirstYear+4,MONTH('Input|General'!$G$9),1)</f>
        <v>45444</v>
      </c>
      <c r="O4" s="46">
        <f>DATE(PPFirstYear+5,MONTH('Input|General'!$G$9),1)</f>
        <v>45809</v>
      </c>
      <c r="P4" s="46">
        <f>DATE(PPFirstYear+6,MONTH('Input|General'!$G$9),1)</f>
        <v>46174</v>
      </c>
      <c r="Q4" s="46">
        <f>DATE(PPFirstYear+7,MONTH('Input|General'!$G$9),1)</f>
        <v>46539</v>
      </c>
      <c r="R4" s="46">
        <f>DATE(PPFirstYear+8,MONTH('Input|General'!$G$9),1)</f>
        <v>46905</v>
      </c>
      <c r="S4" s="46">
        <f>DATE(PPFirstYear+9,MONTH('Input|General'!$G$9),1)</f>
        <v>47270</v>
      </c>
      <c r="T4" s="47"/>
      <c r="U4" s="47"/>
      <c r="V4" s="48"/>
      <c r="W4" s="48"/>
    </row>
    <row r="5" spans="1:26" s="10" customFormat="1" ht="3" customHeight="1" x14ac:dyDescent="0.2">
      <c r="D5" s="11"/>
      <c r="E5" s="11"/>
      <c r="F5" s="11"/>
      <c r="G5" s="11"/>
      <c r="H5" s="11"/>
      <c r="I5" s="11"/>
    </row>
    <row r="6" spans="1:26" s="10" customFormat="1" ht="9" customHeight="1" x14ac:dyDescent="0.2">
      <c r="D6" s="11"/>
      <c r="E6" s="11"/>
      <c r="F6" s="11"/>
      <c r="G6" s="11"/>
      <c r="H6" s="11"/>
      <c r="I6" s="11"/>
    </row>
    <row r="7" spans="1:26" s="10" customFormat="1" ht="3" customHeight="1" x14ac:dyDescent="0.2">
      <c r="D7" s="11"/>
      <c r="E7" s="11"/>
      <c r="F7" s="11"/>
      <c r="G7" s="11"/>
      <c r="H7" s="11"/>
      <c r="I7" s="11"/>
    </row>
    <row r="8" spans="1:26" s="19" customFormat="1" ht="13" x14ac:dyDescent="0.3">
      <c r="A8" s="12"/>
      <c r="B8" s="13" t="s">
        <v>264</v>
      </c>
      <c r="C8" s="12"/>
      <c r="D8" s="12"/>
      <c r="E8" s="65" t="s">
        <v>87</v>
      </c>
      <c r="F8" s="66">
        <f>DATE(PPLastYear,MONTH('Input|General'!$G$9),1)</f>
        <v>45444</v>
      </c>
      <c r="G8" s="14"/>
      <c r="H8" s="14"/>
      <c r="I8" s="14"/>
      <c r="J8" s="98" t="s">
        <v>265</v>
      </c>
      <c r="K8" s="16"/>
      <c r="L8" s="15"/>
      <c r="M8" s="16"/>
      <c r="N8" s="15"/>
      <c r="O8" s="15"/>
      <c r="P8" s="15"/>
      <c r="Q8" s="15"/>
      <c r="R8" s="15"/>
      <c r="S8" s="15"/>
      <c r="T8" s="15"/>
      <c r="U8" s="15"/>
      <c r="V8" s="16"/>
      <c r="W8" s="16"/>
    </row>
    <row r="9" spans="1:26" ht="4.5" customHeight="1" x14ac:dyDescent="0.2"/>
    <row r="10" spans="1:26" ht="10" x14ac:dyDescent="0.2">
      <c r="M10" s="63"/>
      <c r="N10" s="63"/>
      <c r="O10" s="63"/>
      <c r="P10" s="63"/>
      <c r="Q10" s="63"/>
      <c r="R10" s="63"/>
      <c r="S10" s="63"/>
    </row>
    <row r="11" spans="1:26" ht="10.5" x14ac:dyDescent="0.25">
      <c r="C11" s="29" t="s">
        <v>271</v>
      </c>
      <c r="D11" s="23" t="s">
        <v>45</v>
      </c>
      <c r="E11" s="23" t="s">
        <v>72</v>
      </c>
      <c r="F11" s="23" t="s">
        <v>78</v>
      </c>
      <c r="H11" s="23"/>
      <c r="I11" s="23"/>
      <c r="J11" s="61" t="str">
        <f>IF(YEAR(J$4)&gt;='Input|General'!$G$13,IF(YEAR(J$4)&lt;='Input|General'!$G$14,J$4,""),"")</f>
        <v/>
      </c>
      <c r="K11" s="61" t="str">
        <f>IF(YEAR(K$4)&gt;='Input|General'!$G$13,IF(YEAR(K$4)&lt;='Input|General'!$G$14,K$4,""),"")</f>
        <v/>
      </c>
      <c r="L11" s="61" t="str">
        <f>IF(YEAR(L$4)&gt;='Input|General'!$G$13,IF(YEAR(L$4)&lt;='Input|General'!$G$14,L$4,""),"")</f>
        <v/>
      </c>
      <c r="M11" s="61" t="str">
        <f>IF(YEAR(M$4)&gt;='Input|General'!$G$13,IF(YEAR(M$4)&lt;='Input|General'!$G$14,M$4,""),"")</f>
        <v/>
      </c>
      <c r="N11" s="61" t="str">
        <f>IF(YEAR(N$4)&gt;='Input|General'!$G$13,IF(YEAR(N$4)&lt;='Input|General'!$G$14,N$4,""),"")</f>
        <v/>
      </c>
      <c r="O11" s="61">
        <f>IF(YEAR(O$4)&gt;=FPFirstYear,IF(YEAR(O$4)&lt;=FPLastYear,O$4,""),"")</f>
        <v>45809</v>
      </c>
      <c r="P11" s="61">
        <f>IF(YEAR(P$4)&gt;=FPFirstYear,IF(YEAR(P$4)&lt;=FPLastYear,P$4,""),"")</f>
        <v>46174</v>
      </c>
      <c r="Q11" s="61">
        <f>IF(YEAR(Q$4)&gt;=FPFirstYear,IF(YEAR(Q$4)&lt;=FPLastYear,Q$4,""),"")</f>
        <v>46539</v>
      </c>
      <c r="R11" s="61">
        <f>IF(YEAR(R$4)&gt;=FPFirstYear,IF(YEAR(R$4)&lt;=FPLastYear,R$4,""),"")</f>
        <v>46905</v>
      </c>
      <c r="S11" s="61">
        <f>IF(YEAR(S$4)&gt;=FPFirstYear,IF(YEAR(S$4)&lt;=FPLastYear,S$4,""),"")</f>
        <v>47270</v>
      </c>
      <c r="U11" s="99" t="s">
        <v>267</v>
      </c>
      <c r="V11" s="100"/>
      <c r="W11" s="100"/>
    </row>
    <row r="12" spans="1:26" ht="10.5" x14ac:dyDescent="0.25">
      <c r="C12" s="29"/>
      <c r="D12" s="23"/>
      <c r="E12" s="23"/>
      <c r="F12" s="23"/>
      <c r="H12" s="23"/>
      <c r="I12" s="23"/>
      <c r="J12" s="61"/>
      <c r="K12" s="61"/>
      <c r="L12" s="61"/>
      <c r="M12" s="61"/>
      <c r="N12" s="61"/>
      <c r="O12" s="61"/>
      <c r="P12" s="61"/>
      <c r="Q12" s="61"/>
      <c r="R12" s="61"/>
      <c r="S12" s="61"/>
      <c r="U12" s="29"/>
    </row>
    <row r="13" spans="1:26" ht="10" x14ac:dyDescent="0.2">
      <c r="C13" s="54" t="s">
        <v>171</v>
      </c>
      <c r="D13" s="101"/>
      <c r="E13" s="21" t="str">
        <f t="shared" ref="E13" si="0">$E$8</f>
        <v>$millions</v>
      </c>
      <c r="F13" s="70">
        <f t="shared" ref="F13" si="1">$F$8</f>
        <v>45444</v>
      </c>
      <c r="H13" s="23"/>
      <c r="I13" s="23"/>
      <c r="J13" s="102"/>
      <c r="K13" s="102"/>
      <c r="L13" s="102"/>
      <c r="M13" s="102"/>
      <c r="N13" s="102"/>
      <c r="O13" s="102">
        <f>'Calc|Network innovation program'!O29</f>
        <v>0.9</v>
      </c>
      <c r="P13" s="102">
        <f>'Calc|Network innovation program'!P29</f>
        <v>0.9</v>
      </c>
      <c r="Q13" s="102">
        <f>'Calc|Network innovation program'!Q29</f>
        <v>0.9</v>
      </c>
      <c r="R13" s="102">
        <f>'Calc|Network innovation program'!R29</f>
        <v>0.9</v>
      </c>
      <c r="S13" s="102">
        <f>'Calc|Network innovation program'!S29</f>
        <v>0.9</v>
      </c>
      <c r="T13" s="54"/>
      <c r="U13" s="37"/>
    </row>
    <row r="14" spans="1:26" ht="10.5" x14ac:dyDescent="0.2">
      <c r="D14" s="101"/>
      <c r="H14" s="23"/>
      <c r="I14" s="23"/>
      <c r="S14" s="62"/>
    </row>
    <row r="15" spans="1:26" ht="10" x14ac:dyDescent="0.2">
      <c r="D15" s="101"/>
      <c r="H15" s="23"/>
      <c r="I15" s="23"/>
    </row>
    <row r="16" spans="1:26" s="19" customFormat="1" ht="13" x14ac:dyDescent="0.3">
      <c r="A16" s="12"/>
      <c r="B16" s="13" t="s">
        <v>41</v>
      </c>
      <c r="C16" s="12"/>
      <c r="D16" s="12"/>
      <c r="E16" s="12"/>
      <c r="F16" s="14"/>
      <c r="G16" s="14"/>
      <c r="H16" s="14"/>
      <c r="I16" s="14"/>
      <c r="J16" s="15"/>
      <c r="K16" s="16"/>
      <c r="L16" s="15"/>
      <c r="M16" s="16"/>
      <c r="N16" s="15"/>
      <c r="O16" s="15"/>
      <c r="P16" s="15"/>
      <c r="Q16" s="15"/>
      <c r="R16" s="15"/>
      <c r="S16" s="15"/>
      <c r="T16" s="15"/>
      <c r="U16" s="15"/>
      <c r="V16" s="16"/>
      <c r="W16" s="16"/>
    </row>
    <row r="22" spans="13:19" ht="10" hidden="1" x14ac:dyDescent="0.2">
      <c r="M22" s="60"/>
      <c r="N22" s="60"/>
      <c r="O22" s="60"/>
      <c r="P22" s="60"/>
      <c r="Q22" s="60"/>
      <c r="R22" s="60"/>
      <c r="S22" s="60"/>
    </row>
  </sheetData>
  <mergeCells count="1">
    <mergeCell ref="N3:S3"/>
  </mergeCells>
  <conditionalFormatting sqref="J11:S11">
    <cfRule type="expression" dxfId="11" priority="4">
      <formula>J$11=J$4</formula>
    </cfRule>
  </conditionalFormatting>
  <conditionalFormatting sqref="J13:S13">
    <cfRule type="expression" dxfId="10" priority="1">
      <formula>AND($C13=0,J$11=J$4)</formula>
    </cfRule>
    <cfRule type="expression" dxfId="9" priority="2">
      <formula>NOT(J$11=J$4)</formula>
    </cfRule>
    <cfRule type="expression" dxfId="8" priority="3">
      <formula>J$11=J$4</formula>
    </cfRule>
  </conditionalFormatting>
  <dataValidations count="1">
    <dataValidation type="list" allowBlank="1" showInputMessage="1" showErrorMessage="1" sqref="F14:F15" xr:uid="{3EA2D751-EAD9-41F6-942B-B71BE8BC6CEF}">
      <formula1>#REF!</formula1>
    </dataValidation>
  </dataValidations>
  <pageMargins left="0.7" right="0.7" top="0.75" bottom="0.75" header="0.3" footer="0.3"/>
  <pageSetup paperSize="9" orientation="portrait" verticalDpi="4" r:id="rId1"/>
  <headerFooter>
    <oddFooter>&amp;L&amp;1#&amp;"Calibri"&amp;8&amp;K000000For Official use only</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07AE4-CFB1-4CD3-8F58-C220DF300402}">
  <sheetPr codeName="Sheet14">
    <tabColor theme="4" tint="0.59999389629810485"/>
  </sheetPr>
  <dimension ref="A1:AU22"/>
  <sheetViews>
    <sheetView showGridLines="0" zoomScale="75" zoomScaleNormal="75" workbookViewId="0"/>
  </sheetViews>
  <sheetFormatPr defaultColWidth="0" defaultRowHeight="10.25" customHeight="1" zeroHeight="1" x14ac:dyDescent="0.2"/>
  <cols>
    <col min="1" max="2" width="1.1796875" style="20" customWidth="1"/>
    <col min="3" max="3" width="48.81640625" style="20" bestFit="1" customWidth="1"/>
    <col min="4" max="4" width="22.54296875" style="21" customWidth="1"/>
    <col min="5" max="5" width="12.81640625" style="21" customWidth="1"/>
    <col min="6" max="6" width="8.81640625" style="21" customWidth="1"/>
    <col min="7" max="9" width="2.81640625" style="21" customWidth="1"/>
    <col min="10" max="23" width="8.81640625" style="20" customWidth="1"/>
    <col min="24" max="47" width="0" style="20" hidden="1" customWidth="1"/>
    <col min="48" max="16384" width="8.54296875" style="20" hidden="1"/>
  </cols>
  <sheetData>
    <row r="1" spans="1:26" s="1" customFormat="1" ht="15.5" x14ac:dyDescent="0.35">
      <c r="B1" s="2" t="s">
        <v>42</v>
      </c>
      <c r="C1" s="2"/>
      <c r="D1" s="2"/>
      <c r="E1" s="2"/>
      <c r="F1" s="3"/>
      <c r="G1" s="3"/>
      <c r="H1" s="3"/>
      <c r="I1" s="3"/>
      <c r="J1" s="3"/>
      <c r="L1" s="4" t="s">
        <v>58</v>
      </c>
      <c r="M1" s="5" t="s">
        <v>59</v>
      </c>
      <c r="N1" s="6" t="s">
        <v>61</v>
      </c>
    </row>
    <row r="2" spans="1:26" s="7" customFormat="1" ht="13.5" thickBot="1" x14ac:dyDescent="0.35">
      <c r="B2" s="8" t="s">
        <v>272</v>
      </c>
      <c r="C2" s="8"/>
      <c r="D2" s="8"/>
      <c r="E2" s="8"/>
      <c r="F2" s="9"/>
      <c r="G2" s="9"/>
      <c r="H2" s="9"/>
      <c r="I2" s="9"/>
    </row>
    <row r="3" spans="1:26" s="38" customFormat="1" ht="14.75" customHeight="1" x14ac:dyDescent="0.25">
      <c r="D3" s="39"/>
      <c r="E3" s="39"/>
      <c r="F3" s="39"/>
      <c r="G3" s="39"/>
      <c r="H3" s="39"/>
      <c r="I3" s="39"/>
      <c r="J3" s="64" t="s">
        <v>50</v>
      </c>
      <c r="K3" s="64"/>
      <c r="L3" s="64"/>
      <c r="M3" s="39"/>
      <c r="N3" s="202"/>
      <c r="O3" s="202"/>
      <c r="P3" s="202"/>
      <c r="Q3" s="202"/>
      <c r="R3" s="202"/>
      <c r="S3" s="202"/>
      <c r="T3" s="41"/>
      <c r="U3" s="41"/>
      <c r="V3" s="41"/>
      <c r="W3" s="41"/>
      <c r="X3" s="41"/>
      <c r="Y3" s="41"/>
      <c r="Z3" s="41"/>
    </row>
    <row r="4" spans="1:26" s="19" customFormat="1" ht="10" x14ac:dyDescent="0.2">
      <c r="A4" s="42"/>
      <c r="B4" s="42"/>
      <c r="C4" s="42"/>
      <c r="D4" s="43" t="s">
        <v>45</v>
      </c>
      <c r="E4" s="43" t="s">
        <v>72</v>
      </c>
      <c r="F4" s="44" t="s">
        <v>78</v>
      </c>
      <c r="G4" s="45"/>
      <c r="H4" s="45"/>
      <c r="I4" s="45"/>
      <c r="J4" s="46">
        <f>DATE(PPFirstYear,MONTH('Input|General'!$G$9),1)</f>
        <v>43983</v>
      </c>
      <c r="K4" s="46">
        <f>DATE(PPFirstYear+1,MONTH('Input|General'!$G$9),1)</f>
        <v>44348</v>
      </c>
      <c r="L4" s="46">
        <f>DATE(PPFirstYear+2,MONTH('Input|General'!$G$9),1)</f>
        <v>44713</v>
      </c>
      <c r="M4" s="46">
        <f>DATE(PPFirstYear+3,MONTH('Input|General'!$G$9),1)</f>
        <v>45078</v>
      </c>
      <c r="N4" s="46">
        <f>DATE(PPFirstYear+4,MONTH('Input|General'!$G$9),1)</f>
        <v>45444</v>
      </c>
      <c r="O4" s="46">
        <f>DATE(PPFirstYear+5,MONTH('Input|General'!$G$9),1)</f>
        <v>45809</v>
      </c>
      <c r="P4" s="46">
        <f>DATE(PPFirstYear+6,MONTH('Input|General'!$G$9),1)</f>
        <v>46174</v>
      </c>
      <c r="Q4" s="46">
        <f>DATE(PPFirstYear+7,MONTH('Input|General'!$G$9),1)</f>
        <v>46539</v>
      </c>
      <c r="R4" s="46">
        <f>DATE(PPFirstYear+8,MONTH('Input|General'!$G$9),1)</f>
        <v>46905</v>
      </c>
      <c r="S4" s="46">
        <f>DATE(PPFirstYear+9,MONTH('Input|General'!$G$9),1)</f>
        <v>47270</v>
      </c>
      <c r="T4" s="47"/>
      <c r="U4" s="47"/>
      <c r="V4" s="48"/>
      <c r="W4" s="48"/>
    </row>
    <row r="5" spans="1:26" s="10" customFormat="1" ht="3" customHeight="1" x14ac:dyDescent="0.2">
      <c r="D5" s="11"/>
      <c r="E5" s="11"/>
      <c r="F5" s="11"/>
      <c r="G5" s="11"/>
      <c r="H5" s="11"/>
      <c r="I5" s="11"/>
    </row>
    <row r="6" spans="1:26" s="10" customFormat="1" ht="9" customHeight="1" x14ac:dyDescent="0.2">
      <c r="D6" s="11"/>
      <c r="E6" s="11"/>
      <c r="F6" s="11"/>
      <c r="G6" s="11"/>
      <c r="H6" s="11"/>
      <c r="I6" s="11"/>
    </row>
    <row r="7" spans="1:26" s="10" customFormat="1" ht="3" customHeight="1" x14ac:dyDescent="0.2">
      <c r="D7" s="11"/>
      <c r="E7" s="11"/>
      <c r="F7" s="11"/>
      <c r="G7" s="11"/>
      <c r="H7" s="11"/>
      <c r="I7" s="11"/>
    </row>
    <row r="8" spans="1:26" s="19" customFormat="1" ht="13" x14ac:dyDescent="0.3">
      <c r="A8" s="12"/>
      <c r="B8" s="13" t="s">
        <v>264</v>
      </c>
      <c r="C8" s="12"/>
      <c r="D8" s="12"/>
      <c r="E8" s="65" t="s">
        <v>87</v>
      </c>
      <c r="F8" s="66">
        <f>DATE(PPLastYear,MONTH('Input|General'!$G$9),1)</f>
        <v>45444</v>
      </c>
      <c r="G8" s="14"/>
      <c r="H8" s="14"/>
      <c r="I8" s="14"/>
      <c r="J8" s="98" t="s">
        <v>265</v>
      </c>
      <c r="K8" s="16"/>
      <c r="L8" s="15"/>
      <c r="M8" s="16"/>
      <c r="N8" s="15"/>
      <c r="O8" s="15"/>
      <c r="P8" s="15"/>
      <c r="Q8" s="15"/>
      <c r="R8" s="15"/>
      <c r="S8" s="15"/>
      <c r="T8" s="15"/>
      <c r="U8" s="15"/>
      <c r="V8" s="16"/>
      <c r="W8" s="16"/>
    </row>
    <row r="9" spans="1:26" ht="4.5" customHeight="1" x14ac:dyDescent="0.2"/>
    <row r="10" spans="1:26" ht="10" x14ac:dyDescent="0.2">
      <c r="M10" s="63"/>
      <c r="N10" s="63"/>
      <c r="O10" s="63"/>
      <c r="P10" s="63"/>
      <c r="Q10" s="63"/>
      <c r="R10" s="63"/>
      <c r="S10" s="63"/>
    </row>
    <row r="11" spans="1:26" ht="10.5" x14ac:dyDescent="0.25">
      <c r="C11" s="29" t="s">
        <v>273</v>
      </c>
      <c r="D11" s="23" t="s">
        <v>45</v>
      </c>
      <c r="E11" s="23" t="s">
        <v>72</v>
      </c>
      <c r="F11" s="23" t="s">
        <v>78</v>
      </c>
      <c r="H11" s="23"/>
      <c r="I11" s="23"/>
      <c r="J11" s="23"/>
      <c r="K11" s="23"/>
      <c r="L11" s="23"/>
      <c r="M11" s="61">
        <f t="shared" ref="M11" si="0">IF(YEAR(M$4)&lt;=PPLastYear,M$4,"")</f>
        <v>45078</v>
      </c>
      <c r="N11" s="61"/>
      <c r="O11" s="61"/>
      <c r="P11" s="61"/>
      <c r="Q11" s="61"/>
      <c r="R11" s="61"/>
      <c r="S11" s="61"/>
      <c r="U11" s="99" t="s">
        <v>267</v>
      </c>
      <c r="V11" s="100"/>
      <c r="W11" s="100"/>
    </row>
    <row r="12" spans="1:26" ht="10.5" x14ac:dyDescent="0.25">
      <c r="C12" s="29"/>
      <c r="D12" s="23"/>
      <c r="E12" s="23"/>
      <c r="F12" s="23"/>
      <c r="H12" s="23"/>
      <c r="I12" s="23"/>
      <c r="J12" s="61"/>
      <c r="K12" s="61"/>
      <c r="L12" s="61"/>
      <c r="M12" s="61"/>
      <c r="N12" s="61"/>
      <c r="O12" s="61"/>
      <c r="P12" s="61"/>
      <c r="Q12" s="61"/>
      <c r="R12" s="61"/>
      <c r="S12" s="61"/>
      <c r="U12" s="29"/>
    </row>
    <row r="13" spans="1:26" ht="10" x14ac:dyDescent="0.2">
      <c r="C13" s="54" t="s">
        <v>274</v>
      </c>
      <c r="D13" s="101"/>
      <c r="E13" s="21" t="str">
        <f t="shared" ref="E13" si="1">$E$8</f>
        <v>$millions</v>
      </c>
      <c r="F13" s="70">
        <f>$F$8</f>
        <v>45444</v>
      </c>
      <c r="H13" s="23"/>
      <c r="I13" s="23"/>
      <c r="J13" s="102"/>
      <c r="K13" s="102"/>
      <c r="L13" s="102"/>
      <c r="M13" s="102">
        <f>'Calc|BY Adj CAM adjustment'!M27</f>
        <v>7.002400749668368</v>
      </c>
      <c r="N13" s="102"/>
      <c r="O13" s="102"/>
      <c r="P13" s="102"/>
      <c r="Q13" s="102"/>
      <c r="R13" s="102"/>
      <c r="S13" s="102"/>
      <c r="U13" s="37"/>
    </row>
    <row r="14" spans="1:26" ht="10.5" x14ac:dyDescent="0.2">
      <c r="D14" s="101"/>
      <c r="H14" s="23"/>
      <c r="I14" s="23"/>
      <c r="S14" s="62"/>
    </row>
    <row r="15" spans="1:26" ht="10" x14ac:dyDescent="0.2">
      <c r="D15" s="101"/>
      <c r="H15" s="23"/>
      <c r="I15" s="23"/>
    </row>
    <row r="16" spans="1:26" s="19" customFormat="1" ht="13" x14ac:dyDescent="0.3">
      <c r="A16" s="12"/>
      <c r="B16" s="13" t="s">
        <v>41</v>
      </c>
      <c r="C16" s="12"/>
      <c r="D16" s="12"/>
      <c r="E16" s="12"/>
      <c r="F16" s="14"/>
      <c r="G16" s="14"/>
      <c r="H16" s="14"/>
      <c r="I16" s="14"/>
      <c r="J16" s="15"/>
      <c r="K16" s="16"/>
      <c r="L16" s="15"/>
      <c r="M16" s="16"/>
      <c r="N16" s="15"/>
      <c r="O16" s="15"/>
      <c r="P16" s="15"/>
      <c r="Q16" s="15"/>
      <c r="R16" s="15"/>
      <c r="S16" s="15"/>
      <c r="T16" s="15"/>
      <c r="U16" s="15"/>
      <c r="V16" s="16"/>
      <c r="W16" s="16"/>
    </row>
    <row r="22" spans="13:19" ht="10" hidden="1" x14ac:dyDescent="0.2">
      <c r="M22" s="60"/>
      <c r="N22" s="60"/>
      <c r="O22" s="60"/>
      <c r="P22" s="60"/>
      <c r="Q22" s="60"/>
      <c r="R22" s="60"/>
      <c r="S22" s="60"/>
    </row>
  </sheetData>
  <mergeCells count="1">
    <mergeCell ref="N3:S3"/>
  </mergeCells>
  <conditionalFormatting sqref="J13:S13">
    <cfRule type="expression" dxfId="7" priority="4">
      <formula>AND($C13=0,J$11=J$4)</formula>
    </cfRule>
    <cfRule type="expression" dxfId="6" priority="5">
      <formula>NOT(J$11=J$4)</formula>
    </cfRule>
    <cfRule type="expression" dxfId="5" priority="6">
      <formula>J$11=J$4</formula>
    </cfRule>
  </conditionalFormatting>
  <conditionalFormatting sqref="M11:S11">
    <cfRule type="expression" dxfId="4" priority="7">
      <formula>M$11=M$4</formula>
    </cfRule>
  </conditionalFormatting>
  <dataValidations count="1">
    <dataValidation type="list" allowBlank="1" showInputMessage="1" showErrorMessage="1" sqref="F14:F15" xr:uid="{A391B3EF-1152-4632-890D-92C028F76A71}">
      <formula1>#REF!</formula1>
    </dataValidation>
  </dataValidations>
  <pageMargins left="0.7" right="0.7" top="0.75" bottom="0.75" header="0.3" footer="0.3"/>
  <pageSetup paperSize="9" orientation="portrait" verticalDpi="4" r:id="rId1"/>
  <headerFooter>
    <oddFooter>&amp;L&amp;1#&amp;"Calibri"&amp;8&amp;K000000For Official use only</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81A6D-BB6C-4ED4-82E5-24569059A229}">
  <sheetPr codeName="Sheet15">
    <tabColor theme="1"/>
  </sheetPr>
  <dimension ref="A1:XER86"/>
  <sheetViews>
    <sheetView showGridLines="0" zoomScale="75" zoomScaleNormal="75" workbookViewId="0"/>
  </sheetViews>
  <sheetFormatPr defaultColWidth="0" defaultRowHeight="10.25" customHeight="1" zeroHeight="1" x14ac:dyDescent="0.2"/>
  <cols>
    <col min="1" max="2" width="1.1796875" style="20" customWidth="1"/>
    <col min="3" max="3" width="34.453125" style="20" customWidth="1"/>
    <col min="4" max="4" width="13.81640625" style="88" customWidth="1"/>
    <col min="5" max="5" width="12.81640625" style="88" customWidth="1"/>
    <col min="6" max="6" width="8.81640625" style="88" customWidth="1"/>
    <col min="7" max="7" width="12.1796875" style="21" customWidth="1"/>
    <col min="8" max="9" width="12.1796875" style="20" customWidth="1"/>
    <col min="10" max="23" width="8.81640625" style="20" customWidth="1"/>
    <col min="24" max="311" width="8.54296875" style="20" hidden="1" customWidth="1"/>
    <col min="312" max="16371" width="8.54296875" style="20" hidden="1"/>
    <col min="16372" max="16372" width="0" style="20" hidden="1"/>
    <col min="16373" max="16384" width="8.54296875" style="20" hidden="1"/>
  </cols>
  <sheetData>
    <row r="1" spans="1:30" s="3" customFormat="1" ht="15.5" x14ac:dyDescent="0.35">
      <c r="A1" s="1"/>
      <c r="B1" s="2" t="s">
        <v>42</v>
      </c>
      <c r="C1" s="2"/>
      <c r="D1" s="2"/>
      <c r="E1" s="2"/>
    </row>
    <row r="2" spans="1:30" s="1" customFormat="1" ht="13" x14ac:dyDescent="0.3">
      <c r="B2" s="82" t="s">
        <v>275</v>
      </c>
      <c r="C2" s="82"/>
      <c r="D2" s="82"/>
      <c r="E2" s="82"/>
      <c r="F2" s="83"/>
      <c r="G2" s="83"/>
      <c r="H2" s="83"/>
      <c r="I2" s="83"/>
    </row>
    <row r="3" spans="1:30" s="86" customFormat="1" ht="13" x14ac:dyDescent="0.3">
      <c r="A3" s="12"/>
      <c r="B3" s="13"/>
      <c r="C3" s="12"/>
      <c r="D3" s="12"/>
      <c r="E3" s="12"/>
      <c r="F3" s="14"/>
      <c r="G3" s="14"/>
      <c r="H3" s="14"/>
      <c r="I3" s="14"/>
      <c r="J3" s="15"/>
      <c r="K3" s="16"/>
      <c r="L3" s="15"/>
      <c r="M3" s="16"/>
      <c r="N3" s="15"/>
      <c r="O3" s="15"/>
      <c r="P3" s="15"/>
      <c r="Q3" s="15"/>
      <c r="R3" s="15"/>
      <c r="S3" s="15"/>
      <c r="T3" s="15"/>
      <c r="U3" s="15"/>
      <c r="V3" s="16"/>
      <c r="W3" s="16"/>
      <c r="X3" s="84"/>
      <c r="Y3" s="84"/>
      <c r="Z3" s="84"/>
      <c r="AA3" s="84"/>
      <c r="AB3" s="84"/>
      <c r="AC3" s="85"/>
      <c r="AD3" s="85"/>
    </row>
    <row r="4" spans="1:30" s="10" customFormat="1" ht="3" customHeight="1" x14ac:dyDescent="0.2">
      <c r="D4" s="87"/>
      <c r="E4" s="87"/>
    </row>
    <row r="5" spans="1:30" s="10" customFormat="1" ht="9" customHeight="1" x14ac:dyDescent="0.2">
      <c r="D5" s="87"/>
      <c r="E5" s="87"/>
    </row>
    <row r="6" spans="1:30" s="10" customFormat="1" ht="3" customHeight="1" x14ac:dyDescent="0.2">
      <c r="D6" s="87"/>
      <c r="E6" s="87"/>
    </row>
    <row r="7" spans="1:30" s="19" customFormat="1" ht="13" x14ac:dyDescent="0.3">
      <c r="A7" s="12"/>
      <c r="B7" s="13" t="s">
        <v>276</v>
      </c>
      <c r="C7" s="12"/>
      <c r="D7" s="12"/>
      <c r="E7" s="12"/>
      <c r="F7" s="14"/>
      <c r="G7" s="14"/>
      <c r="H7" s="14"/>
      <c r="I7" s="14"/>
      <c r="J7" s="15"/>
      <c r="K7" s="16"/>
      <c r="L7" s="15"/>
      <c r="M7" s="16"/>
      <c r="N7" s="15"/>
      <c r="O7" s="15"/>
      <c r="P7" s="15"/>
      <c r="Q7" s="15"/>
      <c r="R7" s="15"/>
      <c r="S7" s="15"/>
      <c r="T7" s="15"/>
      <c r="U7" s="15"/>
      <c r="V7" s="16"/>
      <c r="W7" s="16"/>
      <c r="X7" s="17"/>
      <c r="Y7" s="17"/>
      <c r="Z7" s="17"/>
      <c r="AA7" s="17"/>
      <c r="AB7" s="17"/>
      <c r="AC7" s="18"/>
      <c r="AD7" s="18"/>
    </row>
    <row r="8" spans="1:30" ht="10" x14ac:dyDescent="0.2"/>
    <row r="9" spans="1:30" ht="10.5" x14ac:dyDescent="0.25">
      <c r="C9" s="22" t="str">
        <f>B7</f>
        <v>Unit Denominations</v>
      </c>
      <c r="D9" s="23" t="s">
        <v>45</v>
      </c>
      <c r="E9" s="23"/>
      <c r="F9" s="24"/>
      <c r="G9" s="24" t="s">
        <v>277</v>
      </c>
      <c r="H9" s="24"/>
    </row>
    <row r="10" spans="1:30" ht="10" x14ac:dyDescent="0.2">
      <c r="C10" s="54" t="s">
        <v>278</v>
      </c>
      <c r="D10" s="21" t="s">
        <v>279</v>
      </c>
      <c r="E10" s="21"/>
      <c r="F10" s="21"/>
      <c r="G10" s="25" t="s">
        <v>101</v>
      </c>
    </row>
    <row r="11" spans="1:30" ht="10" x14ac:dyDescent="0.2">
      <c r="C11" s="54" t="s">
        <v>280</v>
      </c>
      <c r="D11" s="21" t="s">
        <v>279</v>
      </c>
      <c r="E11" s="21"/>
      <c r="F11" s="21"/>
      <c r="G11" s="25" t="s">
        <v>281</v>
      </c>
    </row>
    <row r="12" spans="1:30" ht="10" x14ac:dyDescent="0.2">
      <c r="C12" s="54" t="s">
        <v>282</v>
      </c>
      <c r="D12" s="21" t="s">
        <v>279</v>
      </c>
      <c r="E12" s="21"/>
      <c r="F12" s="21"/>
      <c r="G12" s="25" t="s">
        <v>87</v>
      </c>
      <c r="T12" s="89"/>
    </row>
    <row r="13" spans="1:30" ht="10" x14ac:dyDescent="0.2">
      <c r="F13" s="20"/>
      <c r="G13" s="20"/>
    </row>
    <row r="14" spans="1:30" ht="10" x14ac:dyDescent="0.2">
      <c r="C14" s="54" t="s">
        <v>74</v>
      </c>
      <c r="D14" s="21" t="s">
        <v>279</v>
      </c>
      <c r="E14" s="21"/>
      <c r="F14" s="21"/>
      <c r="G14" s="25" t="s">
        <v>82</v>
      </c>
    </row>
    <row r="15" spans="1:30" ht="10" x14ac:dyDescent="0.2">
      <c r="C15" s="54" t="s">
        <v>72</v>
      </c>
      <c r="D15" s="21" t="s">
        <v>279</v>
      </c>
      <c r="E15" s="21"/>
      <c r="F15" s="21"/>
      <c r="G15" s="25" t="s">
        <v>283</v>
      </c>
    </row>
    <row r="16" spans="1:30" ht="10" x14ac:dyDescent="0.2">
      <c r="C16" s="54" t="s">
        <v>284</v>
      </c>
      <c r="D16" s="21" t="s">
        <v>279</v>
      </c>
      <c r="E16" s="21"/>
      <c r="F16" s="21"/>
      <c r="G16" s="25" t="s">
        <v>285</v>
      </c>
    </row>
    <row r="17" spans="1:30" ht="10" x14ac:dyDescent="0.2">
      <c r="C17" s="54" t="s">
        <v>286</v>
      </c>
      <c r="D17" s="21" t="s">
        <v>279</v>
      </c>
      <c r="E17" s="21"/>
      <c r="F17" s="21"/>
      <c r="G17" s="25" t="s">
        <v>287</v>
      </c>
    </row>
    <row r="18" spans="1:30" ht="10" x14ac:dyDescent="0.2">
      <c r="C18" s="54"/>
      <c r="D18" s="21"/>
      <c r="E18" s="21"/>
      <c r="F18" s="21"/>
      <c r="G18" s="20"/>
    </row>
    <row r="19" spans="1:30" ht="10" x14ac:dyDescent="0.2">
      <c r="C19" s="54" t="s">
        <v>288</v>
      </c>
      <c r="D19" s="21" t="s">
        <v>279</v>
      </c>
      <c r="E19" s="21"/>
      <c r="F19" s="21"/>
      <c r="G19" s="25" t="s">
        <v>288</v>
      </c>
    </row>
    <row r="20" spans="1:30" ht="10" x14ac:dyDescent="0.2">
      <c r="C20" s="54" t="s">
        <v>289</v>
      </c>
      <c r="D20" s="21" t="s">
        <v>279</v>
      </c>
      <c r="E20" s="21"/>
      <c r="F20" s="21"/>
      <c r="G20" s="25" t="s">
        <v>289</v>
      </c>
    </row>
    <row r="21" spans="1:30" ht="10" x14ac:dyDescent="0.2">
      <c r="C21" s="54"/>
      <c r="D21" s="21"/>
      <c r="E21" s="21"/>
      <c r="F21" s="21"/>
      <c r="G21" s="20"/>
    </row>
    <row r="22" spans="1:30" s="19" customFormat="1" ht="13" x14ac:dyDescent="0.3">
      <c r="A22" s="12"/>
      <c r="B22" s="13" t="s">
        <v>290</v>
      </c>
      <c r="C22" s="12"/>
      <c r="D22" s="12"/>
      <c r="E22" s="12"/>
      <c r="F22" s="14"/>
      <c r="G22" s="14"/>
      <c r="H22" s="14"/>
      <c r="I22" s="14"/>
      <c r="J22" s="15"/>
      <c r="K22" s="16"/>
      <c r="L22" s="15"/>
      <c r="M22" s="16"/>
      <c r="N22" s="15"/>
      <c r="O22" s="15"/>
      <c r="P22" s="15"/>
      <c r="Q22" s="15"/>
      <c r="R22" s="15"/>
      <c r="S22" s="15"/>
      <c r="T22" s="15"/>
      <c r="U22" s="15"/>
      <c r="V22" s="16"/>
      <c r="W22" s="16"/>
      <c r="X22" s="17"/>
      <c r="Y22" s="17"/>
      <c r="Z22" s="17"/>
      <c r="AA22" s="17"/>
      <c r="AB22" s="17"/>
      <c r="AC22" s="18"/>
      <c r="AD22" s="18"/>
    </row>
    <row r="23" spans="1:30" ht="10" x14ac:dyDescent="0.2"/>
    <row r="24" spans="1:30" ht="10.5" x14ac:dyDescent="0.25">
      <c r="C24" s="22" t="str">
        <f>B22</f>
        <v>Months</v>
      </c>
      <c r="D24" s="23" t="s">
        <v>45</v>
      </c>
      <c r="E24" s="23"/>
      <c r="F24" s="24"/>
      <c r="G24" s="24" t="s">
        <v>277</v>
      </c>
      <c r="H24" s="24"/>
    </row>
    <row r="25" spans="1:30" ht="10.5" x14ac:dyDescent="0.25">
      <c r="C25" s="54" t="s">
        <v>291</v>
      </c>
      <c r="D25" s="21" t="s">
        <v>279</v>
      </c>
      <c r="E25" s="21"/>
      <c r="F25" s="21"/>
      <c r="G25" s="26">
        <v>36526</v>
      </c>
      <c r="H25" s="24"/>
    </row>
    <row r="26" spans="1:30" ht="10.5" x14ac:dyDescent="0.25">
      <c r="C26" s="54" t="s">
        <v>292</v>
      </c>
      <c r="D26" s="21" t="s">
        <v>279</v>
      </c>
      <c r="E26" s="21"/>
      <c r="F26" s="21"/>
      <c r="G26" s="26">
        <v>36557</v>
      </c>
      <c r="H26" s="24"/>
    </row>
    <row r="27" spans="1:30" ht="10.5" x14ac:dyDescent="0.25">
      <c r="C27" s="54" t="s">
        <v>293</v>
      </c>
      <c r="D27" s="21" t="s">
        <v>279</v>
      </c>
      <c r="E27" s="21"/>
      <c r="F27" s="21"/>
      <c r="G27" s="26">
        <v>36586</v>
      </c>
      <c r="H27" s="24"/>
    </row>
    <row r="28" spans="1:30" ht="10" x14ac:dyDescent="0.2">
      <c r="C28" s="54" t="s">
        <v>294</v>
      </c>
      <c r="D28" s="21" t="s">
        <v>279</v>
      </c>
      <c r="E28" s="21"/>
      <c r="F28" s="21"/>
      <c r="G28" s="26">
        <v>36617</v>
      </c>
    </row>
    <row r="29" spans="1:30" ht="10" x14ac:dyDescent="0.2">
      <c r="C29" s="54" t="s">
        <v>295</v>
      </c>
      <c r="D29" s="21" t="s">
        <v>279</v>
      </c>
      <c r="E29" s="21"/>
      <c r="F29" s="21"/>
      <c r="G29" s="26">
        <v>36647</v>
      </c>
    </row>
    <row r="30" spans="1:30" ht="10" x14ac:dyDescent="0.2">
      <c r="C30" s="54" t="s">
        <v>296</v>
      </c>
      <c r="D30" s="21" t="s">
        <v>279</v>
      </c>
      <c r="E30" s="21"/>
      <c r="F30" s="21"/>
      <c r="G30" s="26">
        <v>36678</v>
      </c>
      <c r="T30" s="89"/>
    </row>
    <row r="31" spans="1:30" ht="10" x14ac:dyDescent="0.2">
      <c r="C31" s="54" t="s">
        <v>297</v>
      </c>
      <c r="D31" s="21" t="s">
        <v>279</v>
      </c>
      <c r="E31" s="21"/>
      <c r="F31" s="21"/>
      <c r="G31" s="26">
        <v>36708</v>
      </c>
      <c r="T31" s="89"/>
    </row>
    <row r="32" spans="1:30" ht="10" x14ac:dyDescent="0.2">
      <c r="C32" s="54" t="s">
        <v>298</v>
      </c>
      <c r="D32" s="21" t="s">
        <v>279</v>
      </c>
      <c r="E32" s="21"/>
      <c r="F32" s="21"/>
      <c r="G32" s="26">
        <v>36739</v>
      </c>
      <c r="T32" s="89"/>
    </row>
    <row r="33" spans="1:30" ht="10" x14ac:dyDescent="0.2">
      <c r="C33" s="54" t="s">
        <v>299</v>
      </c>
      <c r="D33" s="21" t="s">
        <v>279</v>
      </c>
      <c r="E33" s="21"/>
      <c r="F33" s="21"/>
      <c r="G33" s="26">
        <v>36770</v>
      </c>
      <c r="T33" s="89"/>
    </row>
    <row r="34" spans="1:30" ht="10" x14ac:dyDescent="0.2">
      <c r="C34" s="54" t="s">
        <v>300</v>
      </c>
      <c r="D34" s="21" t="s">
        <v>279</v>
      </c>
      <c r="E34" s="21"/>
      <c r="F34" s="21"/>
      <c r="G34" s="26">
        <v>36800</v>
      </c>
      <c r="T34" s="89"/>
    </row>
    <row r="35" spans="1:30" ht="10" x14ac:dyDescent="0.2">
      <c r="C35" s="54" t="s">
        <v>301</v>
      </c>
      <c r="D35" s="21" t="s">
        <v>279</v>
      </c>
      <c r="E35" s="21"/>
      <c r="F35" s="21"/>
      <c r="G35" s="26">
        <v>36831</v>
      </c>
      <c r="T35" s="89"/>
    </row>
    <row r="36" spans="1:30" ht="10" x14ac:dyDescent="0.2">
      <c r="C36" s="54" t="s">
        <v>302</v>
      </c>
      <c r="D36" s="21" t="s">
        <v>279</v>
      </c>
      <c r="E36" s="21"/>
      <c r="F36" s="21"/>
      <c r="G36" s="26">
        <v>36861</v>
      </c>
      <c r="T36" s="89"/>
    </row>
    <row r="37" spans="1:30" ht="10" x14ac:dyDescent="0.2">
      <c r="C37" s="54"/>
      <c r="D37" s="21"/>
      <c r="E37" s="21"/>
      <c r="F37" s="21"/>
      <c r="T37" s="89"/>
    </row>
    <row r="38" spans="1:30" s="19" customFormat="1" ht="13" x14ac:dyDescent="0.3">
      <c r="A38" s="12"/>
      <c r="B38" s="13" t="s">
        <v>303</v>
      </c>
      <c r="C38" s="12"/>
      <c r="D38" s="12"/>
      <c r="E38" s="12"/>
      <c r="F38" s="14"/>
      <c r="G38" s="14"/>
      <c r="H38" s="14"/>
      <c r="I38" s="14"/>
      <c r="J38" s="15"/>
      <c r="K38" s="16"/>
      <c r="L38" s="15"/>
      <c r="M38" s="16"/>
      <c r="N38" s="15"/>
      <c r="O38" s="15"/>
      <c r="P38" s="15"/>
      <c r="Q38" s="15"/>
      <c r="R38" s="15"/>
      <c r="S38" s="15"/>
      <c r="T38" s="15"/>
      <c r="U38" s="15"/>
      <c r="V38" s="16"/>
      <c r="W38" s="16"/>
      <c r="X38" s="17"/>
      <c r="Y38" s="17"/>
      <c r="Z38" s="17"/>
      <c r="AA38" s="17"/>
      <c r="AB38" s="17"/>
      <c r="AC38" s="18"/>
      <c r="AD38" s="18"/>
    </row>
    <row r="39" spans="1:30" ht="10" x14ac:dyDescent="0.2"/>
    <row r="40" spans="1:30" ht="10.5" x14ac:dyDescent="0.25">
      <c r="C40" s="22" t="str">
        <f>B38</f>
        <v>Years</v>
      </c>
      <c r="D40" s="23" t="s">
        <v>45</v>
      </c>
      <c r="E40" s="23"/>
      <c r="F40" s="24"/>
      <c r="G40" s="24" t="s">
        <v>304</v>
      </c>
      <c r="H40" s="24" t="s">
        <v>305</v>
      </c>
      <c r="I40" s="24" t="s">
        <v>306</v>
      </c>
    </row>
    <row r="41" spans="1:30" ht="10" x14ac:dyDescent="0.2">
      <c r="C41" s="58">
        <v>40695</v>
      </c>
      <c r="D41" s="21" t="s">
        <v>279</v>
      </c>
      <c r="E41" s="21"/>
      <c r="F41" s="21"/>
      <c r="G41" s="27">
        <v>2011</v>
      </c>
      <c r="H41" s="90">
        <f>DATE(G41,MONTH('Input|General'!$G$9),1)</f>
        <v>40695</v>
      </c>
      <c r="I41" s="91" t="str">
        <f>G41-1&amp;"–"&amp;RIGHT(G41,2)</f>
        <v>2010–11</v>
      </c>
    </row>
    <row r="42" spans="1:30" ht="10" x14ac:dyDescent="0.2">
      <c r="C42" s="58">
        <v>41061</v>
      </c>
      <c r="D42" s="21" t="s">
        <v>279</v>
      </c>
      <c r="E42" s="21"/>
      <c r="F42" s="21"/>
      <c r="G42" s="27">
        <v>2012</v>
      </c>
      <c r="H42" s="90">
        <f>DATE(G42,MONTH('Input|General'!$G$9),1)</f>
        <v>41061</v>
      </c>
      <c r="I42" s="91" t="str">
        <f t="shared" ref="I42:I60" si="0">G42-1&amp;"–"&amp;RIGHT(G42,2)</f>
        <v>2011–12</v>
      </c>
    </row>
    <row r="43" spans="1:30" ht="10" x14ac:dyDescent="0.2">
      <c r="C43" s="58">
        <v>41426</v>
      </c>
      <c r="D43" s="21" t="s">
        <v>279</v>
      </c>
      <c r="E43" s="21"/>
      <c r="F43" s="21"/>
      <c r="G43" s="27">
        <v>2013</v>
      </c>
      <c r="H43" s="90">
        <f>DATE(G43,MONTH('Input|General'!$G$9),1)</f>
        <v>41426</v>
      </c>
      <c r="I43" s="91" t="str">
        <f t="shared" si="0"/>
        <v>2012–13</v>
      </c>
    </row>
    <row r="44" spans="1:30" ht="10" x14ac:dyDescent="0.2">
      <c r="C44" s="58">
        <v>41791</v>
      </c>
      <c r="D44" s="21" t="s">
        <v>279</v>
      </c>
      <c r="E44" s="21"/>
      <c r="F44" s="21"/>
      <c r="G44" s="27">
        <v>2014</v>
      </c>
      <c r="H44" s="90">
        <f>DATE(G44,MONTH('Input|General'!$G$9),1)</f>
        <v>41791</v>
      </c>
      <c r="I44" s="91" t="str">
        <f t="shared" si="0"/>
        <v>2013–14</v>
      </c>
    </row>
    <row r="45" spans="1:30" ht="10" x14ac:dyDescent="0.2">
      <c r="C45" s="58">
        <v>42156</v>
      </c>
      <c r="D45" s="21" t="s">
        <v>279</v>
      </c>
      <c r="E45" s="21"/>
      <c r="F45" s="21"/>
      <c r="G45" s="27">
        <v>2015</v>
      </c>
      <c r="H45" s="90">
        <f>DATE(G45,MONTH('Input|General'!$G$9),1)</f>
        <v>42156</v>
      </c>
      <c r="I45" s="91" t="str">
        <f t="shared" si="0"/>
        <v>2014–15</v>
      </c>
      <c r="T45" s="89"/>
    </row>
    <row r="46" spans="1:30" ht="10" x14ac:dyDescent="0.2">
      <c r="C46" s="58">
        <v>42522</v>
      </c>
      <c r="D46" s="21" t="s">
        <v>279</v>
      </c>
      <c r="E46" s="21"/>
      <c r="F46" s="21"/>
      <c r="G46" s="27">
        <v>2016</v>
      </c>
      <c r="H46" s="90">
        <f>DATE(G46,MONTH('Input|General'!$G$9),1)</f>
        <v>42522</v>
      </c>
      <c r="I46" s="91" t="str">
        <f t="shared" si="0"/>
        <v>2015–16</v>
      </c>
      <c r="T46" s="89"/>
    </row>
    <row r="47" spans="1:30" ht="10" x14ac:dyDescent="0.2">
      <c r="C47" s="58">
        <v>42887</v>
      </c>
      <c r="D47" s="21" t="s">
        <v>279</v>
      </c>
      <c r="E47" s="21"/>
      <c r="F47" s="21"/>
      <c r="G47" s="27">
        <v>2017</v>
      </c>
      <c r="H47" s="90">
        <f>DATE(G47,MONTH('Input|General'!$G$9),1)</f>
        <v>42887</v>
      </c>
      <c r="I47" s="91" t="str">
        <f t="shared" si="0"/>
        <v>2016–17</v>
      </c>
      <c r="T47" s="89"/>
    </row>
    <row r="48" spans="1:30" ht="10" x14ac:dyDescent="0.2">
      <c r="C48" s="58">
        <v>43252</v>
      </c>
      <c r="D48" s="21" t="s">
        <v>279</v>
      </c>
      <c r="E48" s="21"/>
      <c r="F48" s="21"/>
      <c r="G48" s="27">
        <v>2018</v>
      </c>
      <c r="H48" s="90">
        <f>DATE(G48,MONTH('Input|General'!$G$9),1)</f>
        <v>43252</v>
      </c>
      <c r="I48" s="91" t="str">
        <f t="shared" si="0"/>
        <v>2017–18</v>
      </c>
      <c r="T48" s="89"/>
    </row>
    <row r="49" spans="1:30" ht="10" x14ac:dyDescent="0.2">
      <c r="C49" s="58">
        <v>43617</v>
      </c>
      <c r="D49" s="21" t="s">
        <v>279</v>
      </c>
      <c r="E49" s="21"/>
      <c r="F49" s="21"/>
      <c r="G49" s="27">
        <v>2019</v>
      </c>
      <c r="H49" s="90">
        <f>DATE(G49,MONTH('Input|General'!$G$9),1)</f>
        <v>43617</v>
      </c>
      <c r="I49" s="91" t="str">
        <f t="shared" si="0"/>
        <v>2018–19</v>
      </c>
      <c r="T49" s="89"/>
    </row>
    <row r="50" spans="1:30" ht="10" x14ac:dyDescent="0.2">
      <c r="C50" s="58">
        <v>43983</v>
      </c>
      <c r="D50" s="21" t="s">
        <v>279</v>
      </c>
      <c r="E50" s="21"/>
      <c r="F50" s="21"/>
      <c r="G50" s="27">
        <v>2020</v>
      </c>
      <c r="H50" s="90">
        <f>DATE(G50,MONTH('Input|General'!$G$9),1)</f>
        <v>43983</v>
      </c>
      <c r="I50" s="91" t="str">
        <f t="shared" si="0"/>
        <v>2019–20</v>
      </c>
      <c r="T50" s="89"/>
    </row>
    <row r="51" spans="1:30" ht="10" x14ac:dyDescent="0.2">
      <c r="C51" s="58">
        <v>44348</v>
      </c>
      <c r="D51" s="21" t="s">
        <v>279</v>
      </c>
      <c r="E51" s="21"/>
      <c r="F51" s="21"/>
      <c r="G51" s="27">
        <v>2021</v>
      </c>
      <c r="H51" s="90">
        <f>DATE(G51,MONTH('Input|General'!$G$9),1)</f>
        <v>44348</v>
      </c>
      <c r="I51" s="91" t="str">
        <f t="shared" si="0"/>
        <v>2020–21</v>
      </c>
      <c r="T51" s="89"/>
    </row>
    <row r="52" spans="1:30" ht="10" x14ac:dyDescent="0.2">
      <c r="C52" s="58">
        <v>44713</v>
      </c>
      <c r="D52" s="21" t="s">
        <v>279</v>
      </c>
      <c r="E52" s="21"/>
      <c r="F52" s="21"/>
      <c r="G52" s="27">
        <v>2022</v>
      </c>
      <c r="H52" s="90">
        <f>DATE(G52,MONTH('Input|General'!$G$9),1)</f>
        <v>44713</v>
      </c>
      <c r="I52" s="91" t="str">
        <f t="shared" si="0"/>
        <v>2021–22</v>
      </c>
      <c r="T52" s="89"/>
    </row>
    <row r="53" spans="1:30" ht="10" x14ac:dyDescent="0.2">
      <c r="C53" s="58">
        <v>45078</v>
      </c>
      <c r="D53" s="21" t="s">
        <v>279</v>
      </c>
      <c r="E53" s="21"/>
      <c r="F53" s="21"/>
      <c r="G53" s="27">
        <v>2023</v>
      </c>
      <c r="H53" s="90">
        <f>DATE(G53,MONTH('Input|General'!$G$9),1)</f>
        <v>45078</v>
      </c>
      <c r="I53" s="91" t="str">
        <f t="shared" si="0"/>
        <v>2022–23</v>
      </c>
      <c r="T53" s="89"/>
    </row>
    <row r="54" spans="1:30" ht="10" x14ac:dyDescent="0.2">
      <c r="C54" s="58">
        <v>45444</v>
      </c>
      <c r="D54" s="21" t="s">
        <v>279</v>
      </c>
      <c r="E54" s="21"/>
      <c r="F54" s="21"/>
      <c r="G54" s="27">
        <v>2024</v>
      </c>
      <c r="H54" s="90">
        <f>DATE(G54,MONTH('Input|General'!$G$9),1)</f>
        <v>45444</v>
      </c>
      <c r="I54" s="91" t="str">
        <f t="shared" si="0"/>
        <v>2023–24</v>
      </c>
      <c r="T54" s="89"/>
    </row>
    <row r="55" spans="1:30" ht="10" x14ac:dyDescent="0.2">
      <c r="C55" s="58">
        <v>45809</v>
      </c>
      <c r="D55" s="21" t="s">
        <v>279</v>
      </c>
      <c r="E55" s="21"/>
      <c r="F55" s="21"/>
      <c r="G55" s="27">
        <v>2025</v>
      </c>
      <c r="H55" s="90">
        <f>DATE(G55,MONTH('Input|General'!$G$9),1)</f>
        <v>45809</v>
      </c>
      <c r="I55" s="91" t="str">
        <f t="shared" si="0"/>
        <v>2024–25</v>
      </c>
      <c r="T55" s="89"/>
    </row>
    <row r="56" spans="1:30" ht="10" x14ac:dyDescent="0.2">
      <c r="C56" s="58">
        <v>46174</v>
      </c>
      <c r="D56" s="21" t="s">
        <v>279</v>
      </c>
      <c r="E56" s="21"/>
      <c r="F56" s="21"/>
      <c r="G56" s="27">
        <v>2026</v>
      </c>
      <c r="H56" s="90">
        <f>DATE(G56,MONTH('Input|General'!$G$9),1)</f>
        <v>46174</v>
      </c>
      <c r="I56" s="91" t="str">
        <f t="shared" si="0"/>
        <v>2025–26</v>
      </c>
      <c r="T56" s="89"/>
    </row>
    <row r="57" spans="1:30" ht="10" x14ac:dyDescent="0.2">
      <c r="C57" s="58">
        <v>46539</v>
      </c>
      <c r="D57" s="21" t="s">
        <v>279</v>
      </c>
      <c r="E57" s="21"/>
      <c r="F57" s="21"/>
      <c r="G57" s="27">
        <v>2027</v>
      </c>
      <c r="H57" s="90">
        <f>DATE(G57,MONTH('Input|General'!$G$9),1)</f>
        <v>46539</v>
      </c>
      <c r="I57" s="91" t="str">
        <f t="shared" si="0"/>
        <v>2026–27</v>
      </c>
      <c r="T57" s="89"/>
    </row>
    <row r="58" spans="1:30" ht="10" x14ac:dyDescent="0.2">
      <c r="C58" s="58">
        <v>46905</v>
      </c>
      <c r="D58" s="21" t="s">
        <v>279</v>
      </c>
      <c r="E58" s="21"/>
      <c r="F58" s="21"/>
      <c r="G58" s="27">
        <v>2028</v>
      </c>
      <c r="H58" s="90">
        <f>DATE(G58,MONTH('Input|General'!$G$9),1)</f>
        <v>46905</v>
      </c>
      <c r="I58" s="91" t="str">
        <f t="shared" si="0"/>
        <v>2027–28</v>
      </c>
      <c r="T58" s="89"/>
    </row>
    <row r="59" spans="1:30" ht="10" x14ac:dyDescent="0.2">
      <c r="C59" s="58">
        <v>47270</v>
      </c>
      <c r="D59" s="21" t="s">
        <v>279</v>
      </c>
      <c r="E59" s="21"/>
      <c r="F59" s="21"/>
      <c r="G59" s="27">
        <v>2029</v>
      </c>
      <c r="H59" s="90">
        <f>DATE(G59,MONTH('Input|General'!$G$9),1)</f>
        <v>47270</v>
      </c>
      <c r="I59" s="91" t="str">
        <f t="shared" si="0"/>
        <v>2028–29</v>
      </c>
      <c r="T59" s="89"/>
    </row>
    <row r="60" spans="1:30" ht="10" x14ac:dyDescent="0.2">
      <c r="C60" s="58">
        <v>47635</v>
      </c>
      <c r="D60" s="21" t="s">
        <v>279</v>
      </c>
      <c r="E60" s="21"/>
      <c r="F60" s="21"/>
      <c r="G60" s="27">
        <v>2030</v>
      </c>
      <c r="H60" s="90">
        <f>DATE(G60,MONTH('Input|General'!$G$9),1)</f>
        <v>47635</v>
      </c>
      <c r="I60" s="91" t="str">
        <f t="shared" si="0"/>
        <v>2029–30</v>
      </c>
      <c r="T60" s="89"/>
    </row>
    <row r="61" spans="1:30" ht="10" x14ac:dyDescent="0.2"/>
    <row r="62" spans="1:30" s="19" customFormat="1" ht="13" x14ac:dyDescent="0.3">
      <c r="A62" s="12"/>
      <c r="B62" s="13" t="s">
        <v>307</v>
      </c>
      <c r="C62" s="12"/>
      <c r="D62" s="12"/>
      <c r="E62" s="12"/>
      <c r="F62" s="14"/>
      <c r="G62" s="14"/>
      <c r="H62" s="14"/>
      <c r="I62" s="14"/>
      <c r="J62" s="15"/>
      <c r="K62" s="16"/>
      <c r="L62" s="15"/>
      <c r="M62" s="16"/>
      <c r="N62" s="15"/>
      <c r="O62" s="15"/>
      <c r="P62" s="15"/>
      <c r="Q62" s="15"/>
      <c r="R62" s="15"/>
      <c r="S62" s="15"/>
      <c r="T62" s="15"/>
      <c r="U62" s="15"/>
      <c r="V62" s="16"/>
      <c r="W62" s="16"/>
      <c r="X62" s="17"/>
      <c r="Y62" s="17"/>
      <c r="Z62" s="17"/>
      <c r="AA62" s="17"/>
      <c r="AB62" s="17"/>
      <c r="AC62" s="18"/>
      <c r="AD62" s="18"/>
    </row>
    <row r="63" spans="1:30" ht="10" x14ac:dyDescent="0.2"/>
    <row r="64" spans="1:30" ht="10.5" x14ac:dyDescent="0.25">
      <c r="C64" s="22" t="str">
        <f>B62</f>
        <v>Regulatory years</v>
      </c>
      <c r="D64" s="23" t="s">
        <v>45</v>
      </c>
      <c r="E64" s="23"/>
      <c r="F64" s="24"/>
      <c r="G64" s="24" t="s">
        <v>308</v>
      </c>
      <c r="H64" s="24" t="s">
        <v>50</v>
      </c>
    </row>
    <row r="65" spans="1:30" ht="10.5" x14ac:dyDescent="0.25">
      <c r="C65" s="54" t="s">
        <v>309</v>
      </c>
      <c r="D65" s="21" t="s">
        <v>81</v>
      </c>
      <c r="E65" s="23"/>
      <c r="F65" s="24"/>
      <c r="G65" s="148" t="str">
        <f>IF(MONTH('Input|General'!$G$9)=12,PPFirstYear-2,PPFirstYear-3&amp;"–"&amp;RIGHT(PPFirstYear-2,2))</f>
        <v>2017–18</v>
      </c>
      <c r="H65" s="149">
        <f>DATE(PPFirstYear-2,MONTH('Input|General'!$G$9),1)</f>
        <v>43252</v>
      </c>
    </row>
    <row r="66" spans="1:30" ht="10.5" x14ac:dyDescent="0.25">
      <c r="C66" s="54" t="s">
        <v>310</v>
      </c>
      <c r="D66" s="21" t="s">
        <v>81</v>
      </c>
      <c r="E66" s="23"/>
      <c r="F66" s="24"/>
      <c r="G66" s="148" t="str">
        <f>IF(MONTH('Input|General'!$G$9)=12,PPFirstYear-1,PPFirstYear-2&amp;"–"&amp;RIGHT(PPFirstYear-1,2))</f>
        <v>2018–19</v>
      </c>
      <c r="H66" s="149">
        <f>DATE(PPFirstYear-1,MONTH('Input|General'!$G$9),1)</f>
        <v>43617</v>
      </c>
    </row>
    <row r="67" spans="1:30" ht="10" x14ac:dyDescent="0.2">
      <c r="C67" s="54" t="s">
        <v>311</v>
      </c>
      <c r="D67" s="21" t="s">
        <v>81</v>
      </c>
      <c r="E67" s="21"/>
      <c r="F67" s="21"/>
      <c r="G67" s="91" t="str">
        <f>IF(MONTH('Input|General'!$G$9)=12,PPFirstYear,PPFirstYear-1&amp;"–"&amp;RIGHT(PPFirstYear,2))</f>
        <v>2019–20</v>
      </c>
      <c r="H67" s="90">
        <f>DATE(PPFirstYear,MONTH('Input|General'!$G$9),1)</f>
        <v>43983</v>
      </c>
    </row>
    <row r="68" spans="1:30" ht="10" x14ac:dyDescent="0.2">
      <c r="C68" s="54" t="s">
        <v>312</v>
      </c>
      <c r="D68" s="21" t="s">
        <v>81</v>
      </c>
      <c r="E68" s="21"/>
      <c r="F68" s="21"/>
      <c r="G68" s="91" t="str">
        <f>IF(MONTH('Input|General'!$G$9)=12,PPFirstYear+1,PPFirstYear&amp;"–"&amp;RIGHT(PPFirstYear+1,2))</f>
        <v>2020–21</v>
      </c>
      <c r="H68" s="90">
        <f>IF(PPLastYear-PPFirstYear&lt;1,"",DATE(PPFirstYear+1,MONTH('Input|General'!$G$9),1))</f>
        <v>44348</v>
      </c>
    </row>
    <row r="69" spans="1:30" ht="10" x14ac:dyDescent="0.2">
      <c r="C69" s="54" t="s">
        <v>313</v>
      </c>
      <c r="D69" s="21" t="s">
        <v>81</v>
      </c>
      <c r="E69" s="21"/>
      <c r="F69" s="21"/>
      <c r="G69" s="91" t="str">
        <f>IF(MONTH('Input|General'!$G$9)=12,PPFirstYear+2,PPFirstYear+1&amp;"–"&amp;RIGHT(PPFirstYear+2,2))</f>
        <v>2021–22</v>
      </c>
      <c r="H69" s="90">
        <f>IF(PPLastYear-PPFirstYear&lt;2,"",DATE(PPFirstYear+2,MONTH('Input|General'!$G$9),1))</f>
        <v>44713</v>
      </c>
    </row>
    <row r="70" spans="1:30" ht="10" x14ac:dyDescent="0.2">
      <c r="C70" s="54" t="s">
        <v>314</v>
      </c>
      <c r="D70" s="21" t="s">
        <v>81</v>
      </c>
      <c r="E70" s="21"/>
      <c r="F70" s="21"/>
      <c r="G70" s="91" t="str">
        <f>IF(MONTH('Input|General'!$G$9)=12,PPFirstYear+3,PPFirstYear+2&amp;"–"&amp;RIGHT(PPFirstYear+3,2))</f>
        <v>2022–23</v>
      </c>
      <c r="H70" s="90">
        <f>IF(PPLastYear-PPFirstYear&lt;3,"",DATE(PPFirstYear+3,MONTH('Input|General'!$G$9),1))</f>
        <v>45078</v>
      </c>
    </row>
    <row r="71" spans="1:30" ht="10" x14ac:dyDescent="0.2">
      <c r="C71" s="54" t="s">
        <v>315</v>
      </c>
      <c r="D71" s="21" t="s">
        <v>81</v>
      </c>
      <c r="E71" s="21"/>
      <c r="F71" s="21"/>
      <c r="G71" s="91" t="str">
        <f>IF(MONTH('Input|General'!$G$9)=12,PPFirstYear+4,PPFirstYear+3&amp;"–"&amp;RIGHT(PPFirstYear+4,2))</f>
        <v>2023–24</v>
      </c>
      <c r="H71" s="90">
        <f>IF(PPLastYear-PPFirstYear&lt;4,"",DATE(PPFirstYear+4,MONTH('Input|General'!$G$9),1))</f>
        <v>45444</v>
      </c>
    </row>
    <row r="72" spans="1:30" ht="10" x14ac:dyDescent="0.2">
      <c r="C72" s="54" t="s">
        <v>316</v>
      </c>
      <c r="D72" s="21" t="s">
        <v>81</v>
      </c>
      <c r="E72" s="21"/>
      <c r="F72" s="21"/>
      <c r="G72" s="92" t="str">
        <f>IF(MONTH('Input|General'!$G$9)=12,FPFirstYear,FPFirstYear-1&amp;"–"&amp;RIGHT(FPFirstYear,2))</f>
        <v>2024–25</v>
      </c>
      <c r="H72" s="90">
        <f>DATE(FPFirstYear,MONTH('Input|General'!$G$9),1)</f>
        <v>45809</v>
      </c>
      <c r="T72" s="89"/>
    </row>
    <row r="73" spans="1:30" ht="10" x14ac:dyDescent="0.2">
      <c r="C73" s="54" t="s">
        <v>317</v>
      </c>
      <c r="D73" s="21" t="s">
        <v>81</v>
      </c>
      <c r="E73" s="21"/>
      <c r="F73" s="21"/>
      <c r="G73" s="92" t="str">
        <f>IF(MONTH('Input|General'!$G$9)=12,FPFirstYear+1,FPFirstYear&amp;"–"&amp;RIGHT(FPFirstYear+1,2))</f>
        <v>2025–26</v>
      </c>
      <c r="H73" s="90">
        <f>IF(FPLastYear-FPFirstYear&lt;1,"",DATE(FPFirstYear+1,MONTH('Input|General'!$G$9),1))</f>
        <v>46174</v>
      </c>
      <c r="T73" s="89"/>
    </row>
    <row r="74" spans="1:30" ht="10" x14ac:dyDescent="0.2">
      <c r="C74" s="54" t="s">
        <v>318</v>
      </c>
      <c r="D74" s="21" t="s">
        <v>81</v>
      </c>
      <c r="E74" s="21"/>
      <c r="F74" s="21"/>
      <c r="G74" s="92" t="str">
        <f>IF(MONTH('Input|General'!$G$9)=12,FPFirstYear+2,FPFirstYear+1&amp;"–"&amp;RIGHT(FPFirstYear+2,2))</f>
        <v>2026–27</v>
      </c>
      <c r="H74" s="90">
        <f>IF(FPLastYear-FPFirstYear&lt;2,"",DATE(FPFirstYear+2,MONTH('Input|General'!$G$9),1))</f>
        <v>46539</v>
      </c>
      <c r="T74" s="89"/>
    </row>
    <row r="75" spans="1:30" ht="10" x14ac:dyDescent="0.2">
      <c r="C75" s="54" t="s">
        <v>319</v>
      </c>
      <c r="D75" s="21" t="s">
        <v>81</v>
      </c>
      <c r="E75" s="21"/>
      <c r="F75" s="21"/>
      <c r="G75" s="92" t="str">
        <f>IF(MONTH('Input|General'!$G$9)=12,FPFirstYear+3,FPFirstYear+2&amp;"–"&amp;RIGHT(FPFirstYear+3,2))</f>
        <v>2027–28</v>
      </c>
      <c r="H75" s="90">
        <f>IF(FPLastYear-FPFirstYear&lt;3,"",DATE(FPFirstYear+3,MONTH('Input|General'!$G$9),1))</f>
        <v>46905</v>
      </c>
      <c r="T75" s="89"/>
    </row>
    <row r="76" spans="1:30" ht="10" x14ac:dyDescent="0.2">
      <c r="C76" s="54" t="s">
        <v>320</v>
      </c>
      <c r="D76" s="21" t="s">
        <v>81</v>
      </c>
      <c r="E76" s="21"/>
      <c r="F76" s="21"/>
      <c r="G76" s="92" t="str">
        <f>IF(MONTH('Input|General'!$G$9)=12,FPFirstYear+4,FPFirstYear+3&amp;"–"&amp;RIGHT(FPFirstYear+4,2))</f>
        <v>2028–29</v>
      </c>
      <c r="H76" s="90">
        <f>IF(FPLastYear-FPFirstYear&lt;4,"",DATE(FPFirstYear+4,MONTH('Input|General'!$G$9),1))</f>
        <v>47270</v>
      </c>
      <c r="T76" s="89"/>
    </row>
    <row r="77" spans="1:30" ht="10" x14ac:dyDescent="0.2">
      <c r="C77" s="54"/>
      <c r="D77" s="21"/>
      <c r="E77" s="21"/>
      <c r="F77" s="21"/>
      <c r="G77" s="93"/>
      <c r="H77" s="94"/>
      <c r="T77" s="89"/>
    </row>
    <row r="78" spans="1:30" s="19" customFormat="1" ht="13" x14ac:dyDescent="0.3">
      <c r="A78" s="12"/>
      <c r="B78" s="13" t="s">
        <v>321</v>
      </c>
      <c r="C78" s="12"/>
      <c r="D78" s="12"/>
      <c r="E78" s="12"/>
      <c r="F78" s="14"/>
      <c r="G78" s="14"/>
      <c r="H78" s="14"/>
      <c r="I78" s="14"/>
      <c r="J78" s="15"/>
      <c r="K78" s="16"/>
      <c r="L78" s="15"/>
      <c r="M78" s="16"/>
      <c r="N78" s="15"/>
      <c r="O78" s="15"/>
      <c r="P78" s="15"/>
      <c r="Q78" s="15"/>
      <c r="R78" s="15"/>
      <c r="S78" s="15"/>
      <c r="T78" s="15"/>
      <c r="U78" s="15"/>
      <c r="V78" s="16"/>
      <c r="W78" s="16"/>
      <c r="X78" s="17"/>
      <c r="Y78" s="17"/>
      <c r="Z78" s="17"/>
      <c r="AA78" s="17"/>
      <c r="AB78" s="17"/>
      <c r="AC78" s="18"/>
      <c r="AD78" s="18"/>
    </row>
    <row r="79" spans="1:30" ht="10" x14ac:dyDescent="0.2"/>
    <row r="80" spans="1:30" ht="10.5" x14ac:dyDescent="0.25">
      <c r="C80" s="22" t="s">
        <v>322</v>
      </c>
      <c r="D80" s="23" t="s">
        <v>45</v>
      </c>
      <c r="E80" s="23"/>
      <c r="F80" s="24"/>
      <c r="G80" s="24"/>
      <c r="H80" s="24"/>
    </row>
    <row r="81" spans="1:30" ht="10" x14ac:dyDescent="0.2">
      <c r="C81" s="58" t="s">
        <v>323</v>
      </c>
      <c r="D81" s="21" t="s">
        <v>90</v>
      </c>
      <c r="E81" s="21"/>
      <c r="F81" s="21"/>
      <c r="G81" s="91" t="s">
        <v>107</v>
      </c>
      <c r="H81" s="94"/>
    </row>
    <row r="82" spans="1:30" ht="10" x14ac:dyDescent="0.2">
      <c r="C82" s="58">
        <v>44713</v>
      </c>
      <c r="D82" s="21" t="s">
        <v>90</v>
      </c>
      <c r="E82" s="21"/>
      <c r="F82" s="21"/>
      <c r="G82" s="90">
        <f>IF(PPLastYear-PPFirstYear&lt;3,"",DATE(PPFirstYear+2,MONTH('Input|General'!$G$9),1))</f>
        <v>44713</v>
      </c>
      <c r="H82" s="94"/>
    </row>
    <row r="83" spans="1:30" ht="10" x14ac:dyDescent="0.2">
      <c r="C83" s="58">
        <v>45078</v>
      </c>
      <c r="D83" s="21" t="s">
        <v>90</v>
      </c>
      <c r="E83" s="21"/>
      <c r="F83" s="21"/>
      <c r="G83" s="90">
        <f>IF(PPLastYear-PPFirstYear&lt;3,"",DATE(PPFirstYear+3,MONTH('Input|General'!$G$9),1))</f>
        <v>45078</v>
      </c>
      <c r="H83" s="94"/>
    </row>
    <row r="84" spans="1:30" ht="10" x14ac:dyDescent="0.2">
      <c r="C84" s="58">
        <v>45444</v>
      </c>
      <c r="D84" s="21" t="s">
        <v>90</v>
      </c>
      <c r="E84" s="21"/>
      <c r="F84" s="21"/>
      <c r="G84" s="90">
        <f>IF(PPLastYear-PPFirstYear&lt;4,"",DATE(PPFirstYear+4,MONTH('Input|General'!$G$9),1))</f>
        <v>45444</v>
      </c>
      <c r="H84" s="94"/>
    </row>
    <row r="85" spans="1:30" ht="10" x14ac:dyDescent="0.2">
      <c r="C85" s="58"/>
      <c r="D85" s="21"/>
      <c r="E85" s="21"/>
      <c r="F85" s="21"/>
      <c r="G85" s="94"/>
      <c r="H85" s="94"/>
    </row>
    <row r="86" spans="1:30" s="19" customFormat="1" ht="13" x14ac:dyDescent="0.3">
      <c r="A86" s="12"/>
      <c r="B86" s="13" t="s">
        <v>41</v>
      </c>
      <c r="C86" s="12"/>
      <c r="D86" s="12"/>
      <c r="E86" s="12"/>
      <c r="F86" s="14"/>
      <c r="G86" s="14"/>
      <c r="H86" s="14"/>
      <c r="I86" s="14"/>
      <c r="J86" s="15"/>
      <c r="K86" s="16"/>
      <c r="L86" s="15"/>
      <c r="M86" s="16"/>
      <c r="N86" s="15"/>
      <c r="O86" s="15"/>
      <c r="P86" s="15"/>
      <c r="Q86" s="15"/>
      <c r="R86" s="15"/>
      <c r="S86" s="15"/>
      <c r="T86" s="15"/>
      <c r="U86" s="15"/>
      <c r="V86" s="16"/>
      <c r="W86" s="16"/>
      <c r="X86" s="17"/>
      <c r="Y86" s="17"/>
      <c r="Z86" s="17"/>
      <c r="AA86" s="17"/>
      <c r="AB86" s="17"/>
      <c r="AC86" s="18"/>
      <c r="AD86" s="18"/>
    </row>
  </sheetData>
  <conditionalFormatting sqref="P14:P21">
    <cfRule type="expression" dxfId="3" priority="9" stopIfTrue="1">
      <formula>#REF!="Actual"</formula>
    </cfRule>
  </conditionalFormatting>
  <conditionalFormatting sqref="P61">
    <cfRule type="expression" dxfId="2" priority="2" stopIfTrue="1">
      <formula>#REF!="Actual"</formula>
    </cfRule>
  </conditionalFormatting>
  <conditionalFormatting sqref="P14:Q21">
    <cfRule type="expression" dxfId="1" priority="10" stopIfTrue="1">
      <formula>#REF!="Actual"</formula>
    </cfRule>
  </conditionalFormatting>
  <conditionalFormatting sqref="Q61">
    <cfRule type="expression" dxfId="0" priority="1" stopIfTrue="1">
      <formula>#REF!="Actual"</formula>
    </cfRule>
  </conditionalFormatting>
  <pageMargins left="0.7" right="0.7" top="0.75" bottom="0.75" header="0.3" footer="0.3"/>
  <pageSetup paperSize="9" orientation="portrait" verticalDpi="4" r:id="rId1"/>
  <headerFooter>
    <oddFooter>&amp;L&amp;1#&amp;"Calibri"&amp;8&amp;K000000For Official use only</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E7995-FF6F-4F5E-91EB-BFF4C81DB775}">
  <sheetPr>
    <tabColor theme="0"/>
  </sheetPr>
  <dimension ref="B2:AV29"/>
  <sheetViews>
    <sheetView showGridLines="0" zoomScale="85" zoomScaleNormal="85" workbookViewId="0"/>
  </sheetViews>
  <sheetFormatPr defaultColWidth="9.1796875" defaultRowHeight="13" outlineLevelRow="1" outlineLevelCol="1" x14ac:dyDescent="0.3"/>
  <cols>
    <col min="1" max="1" width="2.453125" style="159" customWidth="1"/>
    <col min="2" max="2" width="32" style="159" customWidth="1"/>
    <col min="3" max="18" width="9.1796875" style="159" customWidth="1" outlineLevel="1"/>
    <col min="19" max="22" width="9.1796875" style="159" customWidth="1"/>
    <col min="23" max="23" width="9.1796875" style="159" customWidth="1" collapsed="1"/>
    <col min="24" max="26" width="9.1796875" style="159" customWidth="1"/>
    <col min="27" max="27" width="9.1796875" style="159" customWidth="1" collapsed="1"/>
    <col min="28" max="30" width="9.1796875" style="159" customWidth="1"/>
    <col min="31" max="31" width="9.1796875" style="159" customWidth="1" collapsed="1"/>
    <col min="32" max="34" width="9.1796875" style="159" customWidth="1"/>
    <col min="35" max="35" width="9.1796875" style="159" customWidth="1" collapsed="1"/>
    <col min="36" max="38" width="9.1796875" style="159" customWidth="1"/>
    <col min="39" max="39" width="9.1796875" style="159" customWidth="1" collapsed="1"/>
    <col min="40" max="42" width="9.1796875" style="159" customWidth="1"/>
    <col min="43" max="43" width="116.81640625" style="159" customWidth="1" outlineLevel="1"/>
    <col min="44" max="44" width="2.81640625" style="159" customWidth="1"/>
    <col min="45" max="45" width="8.81640625" style="159" customWidth="1" outlineLevel="1"/>
    <col min="46" max="48" width="17.1796875" style="159" customWidth="1" outlineLevel="1"/>
    <col min="49" max="71" width="9.1796875" style="159" customWidth="1"/>
    <col min="72" max="16384" width="9.1796875" style="159"/>
  </cols>
  <sheetData>
    <row r="2" spans="2:48" ht="15.5" x14ac:dyDescent="0.35">
      <c r="B2" s="158" t="s">
        <v>324</v>
      </c>
    </row>
    <row r="3" spans="2:48" ht="15.5" x14ac:dyDescent="0.35">
      <c r="B3" s="158" t="s">
        <v>325</v>
      </c>
    </row>
    <row r="5" spans="2:48" outlineLevel="1" x14ac:dyDescent="0.3">
      <c r="D5" s="159" t="s">
        <v>326</v>
      </c>
      <c r="F5" s="159" t="s">
        <v>326</v>
      </c>
      <c r="H5" s="159" t="s">
        <v>327</v>
      </c>
      <c r="J5" s="159" t="s">
        <v>327</v>
      </c>
      <c r="L5" s="159" t="s">
        <v>328</v>
      </c>
      <c r="N5" s="159" t="s">
        <v>328</v>
      </c>
      <c r="P5" s="159" t="s">
        <v>329</v>
      </c>
      <c r="R5" s="159" t="s">
        <v>329</v>
      </c>
      <c r="T5" s="159" t="s">
        <v>330</v>
      </c>
      <c r="V5" s="159" t="s">
        <v>330</v>
      </c>
      <c r="X5" s="159" t="s">
        <v>331</v>
      </c>
      <c r="Z5" s="159" t="s">
        <v>331</v>
      </c>
      <c r="AB5" s="159" t="s">
        <v>332</v>
      </c>
      <c r="AD5" s="159" t="s">
        <v>332</v>
      </c>
      <c r="AF5" s="159" t="s">
        <v>333</v>
      </c>
      <c r="AH5" s="159" t="s">
        <v>333</v>
      </c>
      <c r="AJ5" s="159" t="s">
        <v>334</v>
      </c>
      <c r="AL5" s="159" t="s">
        <v>334</v>
      </c>
      <c r="AN5" s="159" t="s">
        <v>335</v>
      </c>
      <c r="AP5" s="159" t="s">
        <v>335</v>
      </c>
    </row>
    <row r="6" spans="2:48" x14ac:dyDescent="0.3">
      <c r="B6" s="209" t="s">
        <v>336</v>
      </c>
      <c r="C6" s="208" t="s">
        <v>337</v>
      </c>
      <c r="D6" s="208"/>
      <c r="E6" s="208"/>
      <c r="F6" s="208"/>
      <c r="G6" s="208" t="s">
        <v>338</v>
      </c>
      <c r="H6" s="208"/>
      <c r="I6" s="208"/>
      <c r="J6" s="208"/>
      <c r="K6" s="208" t="s">
        <v>339</v>
      </c>
      <c r="L6" s="208"/>
      <c r="M6" s="208"/>
      <c r="N6" s="208"/>
      <c r="O6" s="208" t="s">
        <v>340</v>
      </c>
      <c r="P6" s="208"/>
      <c r="Q6" s="208"/>
      <c r="R6" s="208"/>
      <c r="S6" s="208" t="s">
        <v>341</v>
      </c>
      <c r="T6" s="208"/>
      <c r="U6" s="208"/>
      <c r="V6" s="208"/>
      <c r="W6" s="208" t="s">
        <v>342</v>
      </c>
      <c r="X6" s="208"/>
      <c r="Y6" s="208"/>
      <c r="Z6" s="208"/>
      <c r="AA6" s="208" t="s">
        <v>343</v>
      </c>
      <c r="AB6" s="208"/>
      <c r="AC6" s="208"/>
      <c r="AD6" s="208"/>
      <c r="AE6" s="208" t="s">
        <v>344</v>
      </c>
      <c r="AF6" s="208"/>
      <c r="AG6" s="208"/>
      <c r="AH6" s="208"/>
      <c r="AI6" s="208" t="s">
        <v>345</v>
      </c>
      <c r="AJ6" s="208"/>
      <c r="AK6" s="208"/>
      <c r="AL6" s="208"/>
      <c r="AM6" s="208" t="s">
        <v>346</v>
      </c>
      <c r="AN6" s="208"/>
      <c r="AO6" s="208"/>
      <c r="AP6" s="208"/>
      <c r="AQ6" s="209" t="s">
        <v>347</v>
      </c>
    </row>
    <row r="7" spans="2:48" ht="27.75" customHeight="1" x14ac:dyDescent="0.3">
      <c r="B7" s="210"/>
      <c r="C7" s="207" t="s">
        <v>348</v>
      </c>
      <c r="D7" s="207"/>
      <c r="E7" s="207" t="s">
        <v>349</v>
      </c>
      <c r="F7" s="207"/>
      <c r="G7" s="207" t="s">
        <v>348</v>
      </c>
      <c r="H7" s="207"/>
      <c r="I7" s="207" t="s">
        <v>349</v>
      </c>
      <c r="J7" s="207"/>
      <c r="K7" s="207" t="s">
        <v>348</v>
      </c>
      <c r="L7" s="207"/>
      <c r="M7" s="207" t="s">
        <v>349</v>
      </c>
      <c r="N7" s="207"/>
      <c r="O7" s="207" t="s">
        <v>348</v>
      </c>
      <c r="P7" s="207"/>
      <c r="Q7" s="207" t="s">
        <v>349</v>
      </c>
      <c r="R7" s="207"/>
      <c r="S7" s="207" t="s">
        <v>348</v>
      </c>
      <c r="T7" s="207"/>
      <c r="U7" s="207" t="s">
        <v>349</v>
      </c>
      <c r="V7" s="207"/>
      <c r="W7" s="207" t="s">
        <v>348</v>
      </c>
      <c r="X7" s="207"/>
      <c r="Y7" s="207" t="s">
        <v>349</v>
      </c>
      <c r="Z7" s="207"/>
      <c r="AA7" s="207" t="s">
        <v>348</v>
      </c>
      <c r="AB7" s="207"/>
      <c r="AC7" s="207" t="s">
        <v>349</v>
      </c>
      <c r="AD7" s="207"/>
      <c r="AE7" s="207" t="s">
        <v>348</v>
      </c>
      <c r="AF7" s="207"/>
      <c r="AG7" s="207" t="s">
        <v>349</v>
      </c>
      <c r="AH7" s="207"/>
      <c r="AI7" s="207" t="s">
        <v>348</v>
      </c>
      <c r="AJ7" s="207"/>
      <c r="AK7" s="207" t="s">
        <v>349</v>
      </c>
      <c r="AL7" s="207"/>
      <c r="AM7" s="207" t="s">
        <v>348</v>
      </c>
      <c r="AN7" s="207"/>
      <c r="AO7" s="207" t="s">
        <v>349</v>
      </c>
      <c r="AP7" s="207"/>
      <c r="AQ7" s="210"/>
      <c r="AR7" s="161"/>
      <c r="AS7" s="159">
        <f>10^6*-1</f>
        <v>-1000000</v>
      </c>
    </row>
    <row r="8" spans="2:48" x14ac:dyDescent="0.3">
      <c r="B8" s="211"/>
      <c r="C8" s="160" t="s">
        <v>350</v>
      </c>
      <c r="D8" s="160" t="s">
        <v>351</v>
      </c>
      <c r="E8" s="160" t="s">
        <v>350</v>
      </c>
      <c r="F8" s="160" t="s">
        <v>351</v>
      </c>
      <c r="G8" s="160" t="s">
        <v>350</v>
      </c>
      <c r="H8" s="160" t="s">
        <v>351</v>
      </c>
      <c r="I8" s="160" t="s">
        <v>350</v>
      </c>
      <c r="J8" s="160" t="s">
        <v>351</v>
      </c>
      <c r="K8" s="160" t="s">
        <v>350</v>
      </c>
      <c r="L8" s="160" t="s">
        <v>351</v>
      </c>
      <c r="M8" s="160" t="s">
        <v>350</v>
      </c>
      <c r="N8" s="160" t="s">
        <v>351</v>
      </c>
      <c r="O8" s="160" t="s">
        <v>350</v>
      </c>
      <c r="P8" s="160" t="s">
        <v>351</v>
      </c>
      <c r="Q8" s="160" t="s">
        <v>350</v>
      </c>
      <c r="R8" s="160" t="s">
        <v>351</v>
      </c>
      <c r="S8" s="160" t="s">
        <v>350</v>
      </c>
      <c r="T8" s="160" t="s">
        <v>351</v>
      </c>
      <c r="U8" s="160" t="s">
        <v>350</v>
      </c>
      <c r="V8" s="160" t="s">
        <v>351</v>
      </c>
      <c r="W8" s="160" t="s">
        <v>350</v>
      </c>
      <c r="X8" s="160" t="s">
        <v>351</v>
      </c>
      <c r="Y8" s="160" t="s">
        <v>350</v>
      </c>
      <c r="Z8" s="160" t="s">
        <v>351</v>
      </c>
      <c r="AA8" s="160" t="s">
        <v>350</v>
      </c>
      <c r="AB8" s="160" t="s">
        <v>351</v>
      </c>
      <c r="AC8" s="160" t="s">
        <v>350</v>
      </c>
      <c r="AD8" s="160" t="s">
        <v>351</v>
      </c>
      <c r="AE8" s="160" t="s">
        <v>350</v>
      </c>
      <c r="AF8" s="160" t="s">
        <v>351</v>
      </c>
      <c r="AG8" s="160" t="s">
        <v>350</v>
      </c>
      <c r="AH8" s="160" t="s">
        <v>351</v>
      </c>
      <c r="AI8" s="160" t="s">
        <v>350</v>
      </c>
      <c r="AJ8" s="160" t="s">
        <v>351</v>
      </c>
      <c r="AK8" s="160" t="s">
        <v>350</v>
      </c>
      <c r="AL8" s="160" t="s">
        <v>351</v>
      </c>
      <c r="AM8" s="160" t="s">
        <v>350</v>
      </c>
      <c r="AN8" s="160" t="s">
        <v>351</v>
      </c>
      <c r="AO8" s="160" t="s">
        <v>350</v>
      </c>
      <c r="AP8" s="160" t="s">
        <v>351</v>
      </c>
      <c r="AQ8" s="211"/>
      <c r="AR8" s="161"/>
    </row>
    <row r="9" spans="2:48" x14ac:dyDescent="0.3">
      <c r="B9" s="162" t="s">
        <v>228</v>
      </c>
      <c r="C9" s="163">
        <f>$AS9*C11</f>
        <v>2027.3402661713292</v>
      </c>
      <c r="D9" s="164">
        <f>C9/C$23</f>
        <v>0.82639392098122089</v>
      </c>
      <c r="E9" s="165">
        <f>$AS9*E11</f>
        <v>2027.3402661713292</v>
      </c>
      <c r="F9" s="166">
        <f>E9/E$23</f>
        <v>0.86825708836861026</v>
      </c>
      <c r="G9" s="163">
        <f>$AS9*G11</f>
        <v>1756.4201198105468</v>
      </c>
      <c r="H9" s="164">
        <f>G9/G$23</f>
        <v>0.82582395274614961</v>
      </c>
      <c r="I9" s="165">
        <f>$AS9*I11</f>
        <v>1756.4201198105468</v>
      </c>
      <c r="J9" s="166">
        <f>I9/I$23</f>
        <v>0.86017416142241476</v>
      </c>
      <c r="K9" s="163">
        <f>$AS9*K11</f>
        <v>1784.3581508805939</v>
      </c>
      <c r="L9" s="164">
        <f>K9/K$23</f>
        <v>0.82709415713040912</v>
      </c>
      <c r="M9" s="165">
        <f>$AS9*M11</f>
        <v>1784.3581508805939</v>
      </c>
      <c r="N9" s="166">
        <f>M9/M$23</f>
        <v>0.8586938827982431</v>
      </c>
      <c r="O9" s="163">
        <f>$AS9*O11</f>
        <v>1832.8616762379565</v>
      </c>
      <c r="P9" s="164">
        <f>O9/O$23</f>
        <v>0.83053411919086495</v>
      </c>
      <c r="Q9" s="165">
        <f>O9</f>
        <v>1832.8616762379565</v>
      </c>
      <c r="R9" s="166">
        <f>Q9/Q$23</f>
        <v>0.86310206398047129</v>
      </c>
      <c r="S9" s="163">
        <f>$AS9*S11</f>
        <v>1783.0605224413307</v>
      </c>
      <c r="T9" s="164">
        <f>S9/S$23</f>
        <v>0.82167926226750831</v>
      </c>
      <c r="U9" s="165">
        <f>S9</f>
        <v>1783.0605224413307</v>
      </c>
      <c r="V9" s="166">
        <f>U9/U$23</f>
        <v>0.85637167765939082</v>
      </c>
      <c r="W9" s="163">
        <f>$AS9*W11</f>
        <v>2093.2839063429715</v>
      </c>
      <c r="X9" s="164">
        <f>W9/W$23</f>
        <v>0.83361499875704137</v>
      </c>
      <c r="Y9" s="165">
        <f>W9</f>
        <v>2093.2839063429715</v>
      </c>
      <c r="Z9" s="166">
        <f>Y9/Y$23</f>
        <v>0.86806316281427154</v>
      </c>
      <c r="AA9" s="163">
        <f>$AS9*AA11</f>
        <v>2293.1067372480898</v>
      </c>
      <c r="AB9" s="164">
        <f>AA9/AA$23</f>
        <v>0.83788142192889559</v>
      </c>
      <c r="AC9" s="165">
        <f>AA9</f>
        <v>2293.1067372480898</v>
      </c>
      <c r="AD9" s="166">
        <f>AC9/AC$23</f>
        <v>0.87254925683196616</v>
      </c>
      <c r="AE9" s="163">
        <f>$AS9*AE11</f>
        <v>2443.6821041035291</v>
      </c>
      <c r="AF9" s="164">
        <f>AE9/AE$23</f>
        <v>0.83977341616610313</v>
      </c>
      <c r="AG9" s="165">
        <f>AE9</f>
        <v>2443.6821041035291</v>
      </c>
      <c r="AH9" s="166">
        <f>AG9/AG$23</f>
        <v>0.87427216287155651</v>
      </c>
      <c r="AI9" s="163">
        <f>$AS9*AI11</f>
        <v>2634.6773960463638</v>
      </c>
      <c r="AJ9" s="164">
        <f>AI9/AI$23</f>
        <v>0.84323187796732879</v>
      </c>
      <c r="AK9" s="165">
        <f>AI9</f>
        <v>2634.6773960463638</v>
      </c>
      <c r="AL9" s="166">
        <f>AK9/AK$23</f>
        <v>0.87665192168716655</v>
      </c>
      <c r="AM9" s="163">
        <f>$AS9*AM11</f>
        <v>2858.5475586589187</v>
      </c>
      <c r="AN9" s="164">
        <f>AM9/AM$23</f>
        <v>0.85228475991200214</v>
      </c>
      <c r="AO9" s="165">
        <f>AM9</f>
        <v>2858.5475586589187</v>
      </c>
      <c r="AP9" s="166">
        <f>AO9/AO$23</f>
        <v>0.87914889567570031</v>
      </c>
      <c r="AQ9" s="204" t="s">
        <v>352</v>
      </c>
      <c r="AR9" s="161"/>
      <c r="AS9" s="167">
        <v>0.92949992783257207</v>
      </c>
      <c r="AT9" s="159" t="s">
        <v>353</v>
      </c>
      <c r="AU9" s="159" t="s">
        <v>353</v>
      </c>
    </row>
    <row r="10" spans="2:48" x14ac:dyDescent="0.3">
      <c r="B10" s="168" t="s">
        <v>229</v>
      </c>
      <c r="C10" s="169">
        <f>$AS10*C11</f>
        <v>153.76831217867115</v>
      </c>
      <c r="D10" s="170">
        <f t="shared" ref="D10:D11" si="0">C10/C$23</f>
        <v>6.2679758570561336E-2</v>
      </c>
      <c r="E10" s="165">
        <f>$AS10*E11</f>
        <v>153.76831217867115</v>
      </c>
      <c r="F10" s="171">
        <f t="shared" ref="F10:F11" si="1">E10/E$23</f>
        <v>6.5854967339915527E-2</v>
      </c>
      <c r="G10" s="169">
        <f>$AS10*G11</f>
        <v>133.21974697912043</v>
      </c>
      <c r="H10" s="170">
        <f t="shared" ref="H10:H11" si="2">G10/G$23</f>
        <v>6.2636528011308507E-2</v>
      </c>
      <c r="I10" s="165">
        <f>$AS10*I11</f>
        <v>133.21974697912043</v>
      </c>
      <c r="J10" s="171">
        <f t="shared" ref="J10:J11" si="3">I10/I$23</f>
        <v>6.5241899048065724E-2</v>
      </c>
      <c r="K10" s="169">
        <f>$AS10*K11</f>
        <v>135.33877157253488</v>
      </c>
      <c r="L10" s="170">
        <f t="shared" ref="L10:L11" si="4">K10/K$23</f>
        <v>6.2732869601099153E-2</v>
      </c>
      <c r="M10" s="165">
        <f>$AS10*M11</f>
        <v>135.33877157253488</v>
      </c>
      <c r="N10" s="171">
        <f t="shared" ref="N10:N11" si="5">M10/M$23</f>
        <v>6.5129623891600305E-2</v>
      </c>
      <c r="O10" s="169">
        <f>$AS10*O11</f>
        <v>139.01763365275301</v>
      </c>
      <c r="P10" s="170">
        <f t="shared" ref="P10:P11" si="6">O10/O$23</f>
        <v>6.2993781480975092E-2</v>
      </c>
      <c r="Q10" s="165">
        <f>O10</f>
        <v>139.01763365275301</v>
      </c>
      <c r="R10" s="171">
        <f t="shared" ref="R10:R11" si="7">Q10/Q$23</f>
        <v>6.5463972590474179E-2</v>
      </c>
      <c r="S10" s="169">
        <f>$AS10*S11</f>
        <v>135.2403499418545</v>
      </c>
      <c r="T10" s="170">
        <f t="shared" ref="T10:T11" si="8">S10/S$23</f>
        <v>6.2322164374361035E-2</v>
      </c>
      <c r="U10" s="165">
        <f>S10</f>
        <v>135.2403499418545</v>
      </c>
      <c r="V10" s="171">
        <f t="shared" ref="V10:V11" si="9">U10/U$23</f>
        <v>6.495349087106482E-2</v>
      </c>
      <c r="W10" s="169">
        <f>$AS10*W11</f>
        <v>158.76996010985971</v>
      </c>
      <c r="X10" s="170">
        <f t="shared" ref="X10:X11" si="10">W10/W$23</f>
        <v>6.3227457918434399E-2</v>
      </c>
      <c r="Y10" s="165">
        <f>W10</f>
        <v>158.76996010985971</v>
      </c>
      <c r="Z10" s="171">
        <f t="shared" ref="Z10:Z11" si="11">Y10/Y$23</f>
        <v>6.5840258607653579E-2</v>
      </c>
      <c r="AA10" s="169">
        <f>$AS10*AA11</f>
        <v>173.92598495470307</v>
      </c>
      <c r="AB10" s="170">
        <f t="shared" ref="AB10:AB11" si="12">AA10/AA$23</f>
        <v>6.3551054653093519E-2</v>
      </c>
      <c r="AC10" s="165">
        <f>AA10</f>
        <v>173.92598495470307</v>
      </c>
      <c r="AD10" s="171">
        <f t="shared" ref="AD10:AD11" si="13">AC10/AC$23</f>
        <v>6.6180516785763199E-2</v>
      </c>
      <c r="AE10" s="169">
        <f>$AS10*AE11</f>
        <v>185.34672196831323</v>
      </c>
      <c r="AF10" s="170">
        <f t="shared" ref="AF10:AF11" si="14">AE10/AE$23</f>
        <v>6.3694557332619847E-2</v>
      </c>
      <c r="AG10" s="165">
        <f>AE10</f>
        <v>185.34672196831323</v>
      </c>
      <c r="AH10" s="171">
        <f t="shared" ref="AH10:AH11" si="15">AG10/AG$23</f>
        <v>6.6311194579802474E-2</v>
      </c>
      <c r="AI10" s="169">
        <f>$AS10*AI11</f>
        <v>199.83320170049265</v>
      </c>
      <c r="AJ10" s="170">
        <f t="shared" ref="AJ10:AJ11" si="16">AI10/AI$23</f>
        <v>6.3956872368128498E-2</v>
      </c>
      <c r="AK10" s="165">
        <f>AI10</f>
        <v>199.83320170049265</v>
      </c>
      <c r="AL10" s="171">
        <f t="shared" ref="AL10:AL11" si="17">AK10/AK$23</f>
        <v>6.6491692892086146E-2</v>
      </c>
      <c r="AM10" s="169">
        <f>$AS10*AM11</f>
        <v>216.81315204553655</v>
      </c>
      <c r="AN10" s="170">
        <f t="shared" ref="AN10:AN11" si="18">AM10/AM$23</f>
        <v>6.464350914056044E-2</v>
      </c>
      <c r="AO10" s="165">
        <f>AM10</f>
        <v>216.81315204553655</v>
      </c>
      <c r="AP10" s="171">
        <f t="shared" ref="AP10:AP11" si="19">AO10/AO$23</f>
        <v>6.6681081660305105E-2</v>
      </c>
      <c r="AQ10" s="205"/>
      <c r="AR10" s="161"/>
      <c r="AS10" s="172">
        <f>1-AS9</f>
        <v>7.050007216742793E-2</v>
      </c>
      <c r="AT10" s="159" t="s">
        <v>354</v>
      </c>
      <c r="AU10" s="159" t="s">
        <v>354</v>
      </c>
    </row>
    <row r="11" spans="2:48" x14ac:dyDescent="0.3">
      <c r="B11" s="173" t="s">
        <v>230</v>
      </c>
      <c r="C11" s="174">
        <v>2181.1085783500002</v>
      </c>
      <c r="D11" s="175">
        <f t="shared" si="0"/>
        <v>0.88907367955178218</v>
      </c>
      <c r="E11" s="176">
        <v>2181.1085783500002</v>
      </c>
      <c r="F11" s="177">
        <f t="shared" si="1"/>
        <v>0.93411205570852573</v>
      </c>
      <c r="G11" s="174">
        <v>1889.6398667896672</v>
      </c>
      <c r="H11" s="175">
        <f t="shared" si="2"/>
        <v>0.88846048075745809</v>
      </c>
      <c r="I11" s="176">
        <v>1889.6398667896672</v>
      </c>
      <c r="J11" s="177">
        <f t="shared" si="3"/>
        <v>0.92541606047048053</v>
      </c>
      <c r="K11" s="174">
        <v>1919.6969224531288</v>
      </c>
      <c r="L11" s="175">
        <f t="shared" si="4"/>
        <v>0.88982702673150826</v>
      </c>
      <c r="M11" s="176">
        <v>1919.6969224531288</v>
      </c>
      <c r="N11" s="177">
        <f t="shared" si="5"/>
        <v>0.92382350668984337</v>
      </c>
      <c r="O11" s="174">
        <v>1971.8793098907095</v>
      </c>
      <c r="P11" s="175">
        <f t="shared" si="6"/>
        <v>0.89352790067183996</v>
      </c>
      <c r="Q11" s="176">
        <f>SUM(Q9:Q10)</f>
        <v>1971.8793098907095</v>
      </c>
      <c r="R11" s="177">
        <f t="shared" si="7"/>
        <v>0.92856603657094539</v>
      </c>
      <c r="S11" s="174">
        <v>1918.3008723831852</v>
      </c>
      <c r="T11" s="178">
        <f t="shared" si="8"/>
        <v>0.88400142664186931</v>
      </c>
      <c r="U11" s="176">
        <f>SUM(U9:U10)</f>
        <v>1918.3008723831852</v>
      </c>
      <c r="V11" s="179">
        <f t="shared" si="9"/>
        <v>0.92132516853045554</v>
      </c>
      <c r="W11" s="174">
        <v>2252.0538664528312</v>
      </c>
      <c r="X11" s="178">
        <f t="shared" si="10"/>
        <v>0.8968424566754758</v>
      </c>
      <c r="Y11" s="176">
        <f>SUM(Y9:Y10)</f>
        <v>2252.0538664528312</v>
      </c>
      <c r="Z11" s="179">
        <f t="shared" si="11"/>
        <v>0.93390342142192517</v>
      </c>
      <c r="AA11" s="174">
        <v>2467.0327222027927</v>
      </c>
      <c r="AB11" s="178">
        <f t="shared" si="12"/>
        <v>0.90143247658198911</v>
      </c>
      <c r="AC11" s="176">
        <f>SUM(AC9:AC10)</f>
        <v>2467.0327222027927</v>
      </c>
      <c r="AD11" s="179">
        <f t="shared" si="13"/>
        <v>0.93872977361772936</v>
      </c>
      <c r="AE11" s="174">
        <v>2629.0288260718426</v>
      </c>
      <c r="AF11" s="178">
        <f t="shared" si="14"/>
        <v>0.9034679734987231</v>
      </c>
      <c r="AG11" s="176">
        <f>SUM(AG9:AG10)</f>
        <v>2629.0288260718426</v>
      </c>
      <c r="AH11" s="179">
        <f t="shared" si="15"/>
        <v>0.94058335745135901</v>
      </c>
      <c r="AI11" s="174">
        <v>2834.5105977468565</v>
      </c>
      <c r="AJ11" s="178">
        <f t="shared" si="16"/>
        <v>0.90718875033545732</v>
      </c>
      <c r="AK11" s="176">
        <f>SUM(AK9:AK10)</f>
        <v>2834.5105977468565</v>
      </c>
      <c r="AL11" s="179">
        <f t="shared" si="17"/>
        <v>0.94314361457925278</v>
      </c>
      <c r="AM11" s="174">
        <v>3075.3607107044554</v>
      </c>
      <c r="AN11" s="178">
        <f t="shared" si="18"/>
        <v>0.91692826905256264</v>
      </c>
      <c r="AO11" s="176">
        <f>SUM(AO9:AO10)</f>
        <v>3075.3607107044554</v>
      </c>
      <c r="AP11" s="179">
        <f t="shared" si="19"/>
        <v>0.94582997733600549</v>
      </c>
      <c r="AQ11" s="205"/>
      <c r="AR11" s="161"/>
      <c r="AV11" s="159" t="s">
        <v>355</v>
      </c>
    </row>
    <row r="12" spans="2:48" x14ac:dyDescent="0.3">
      <c r="B12" s="162"/>
      <c r="C12" s="163"/>
      <c r="D12" s="164"/>
      <c r="E12" s="165"/>
      <c r="F12" s="166"/>
      <c r="G12" s="163"/>
      <c r="H12" s="164"/>
      <c r="I12" s="165"/>
      <c r="J12" s="166"/>
      <c r="K12" s="163"/>
      <c r="L12" s="164"/>
      <c r="M12" s="165"/>
      <c r="N12" s="166"/>
      <c r="O12" s="163"/>
      <c r="P12" s="164"/>
      <c r="Q12" s="165"/>
      <c r="R12" s="166"/>
      <c r="S12" s="163"/>
      <c r="T12" s="164"/>
      <c r="U12" s="165"/>
      <c r="V12" s="166"/>
      <c r="W12" s="163"/>
      <c r="X12" s="164"/>
      <c r="Y12" s="165"/>
      <c r="Z12" s="166"/>
      <c r="AA12" s="163"/>
      <c r="AB12" s="164"/>
      <c r="AC12" s="165"/>
      <c r="AD12" s="166"/>
      <c r="AE12" s="163"/>
      <c r="AF12" s="164"/>
      <c r="AG12" s="165"/>
      <c r="AH12" s="166"/>
      <c r="AI12" s="163"/>
      <c r="AJ12" s="164"/>
      <c r="AK12" s="165"/>
      <c r="AL12" s="166"/>
      <c r="AM12" s="163"/>
      <c r="AN12" s="164"/>
      <c r="AO12" s="165"/>
      <c r="AP12" s="166"/>
      <c r="AQ12" s="205"/>
      <c r="AR12" s="161"/>
    </row>
    <row r="13" spans="2:48" x14ac:dyDescent="0.3">
      <c r="B13" s="162" t="s">
        <v>231</v>
      </c>
      <c r="C13" s="163">
        <v>41.96383728</v>
      </c>
      <c r="D13" s="164">
        <f t="shared" ref="D13:D17" si="20">C13/C$23</f>
        <v>1.7105495613091354E-2</v>
      </c>
      <c r="E13" s="165">
        <v>41.96383728</v>
      </c>
      <c r="F13" s="166">
        <f t="shared" ref="F13:F17" si="21">E13/E$23</f>
        <v>1.7972019685829992E-2</v>
      </c>
      <c r="G13" s="163">
        <v>30.895002616265685</v>
      </c>
      <c r="H13" s="164">
        <f t="shared" ref="H13:H17" si="22">G13/G$23</f>
        <v>1.4526042427377322E-2</v>
      </c>
      <c r="I13" s="165">
        <v>30.895002616265685</v>
      </c>
      <c r="J13" s="166">
        <f t="shared" ref="J13:J17" si="23">I13/I$23</f>
        <v>1.5130254241483024E-2</v>
      </c>
      <c r="K13" s="163">
        <v>32.245966277910533</v>
      </c>
      <c r="L13" s="164">
        <f t="shared" ref="L13:L17" si="24">K13/K$23</f>
        <v>1.4946803300851874E-2</v>
      </c>
      <c r="M13" s="165">
        <v>32.245966277910533</v>
      </c>
      <c r="N13" s="166">
        <f t="shared" ref="N13:N17" si="25">M13/M$23</f>
        <v>1.5517856644472007E-2</v>
      </c>
      <c r="O13" s="163">
        <v>34.105500542742561</v>
      </c>
      <c r="P13" s="164">
        <f t="shared" ref="P13:P17" si="26">O13/O$23</f>
        <v>1.5454402380746152E-2</v>
      </c>
      <c r="Q13" s="165">
        <f>O13</f>
        <v>34.105500542742561</v>
      </c>
      <c r="R13" s="166">
        <f t="shared" ref="R13:R17" si="27">Q13/Q$23</f>
        <v>1.6060419775892846E-2</v>
      </c>
      <c r="S13" s="163">
        <v>39.763413370646589</v>
      </c>
      <c r="T13" s="164">
        <f t="shared" ref="T13:T17" si="28">S13/S$23</f>
        <v>1.8323983820187979E-2</v>
      </c>
      <c r="U13" s="165">
        <f>S13</f>
        <v>39.763413370646589</v>
      </c>
      <c r="V13" s="166">
        <f t="shared" ref="V13:V17" si="29">U13/U$23</f>
        <v>1.9097647325543834E-2</v>
      </c>
      <c r="W13" s="163">
        <v>36.144741226168797</v>
      </c>
      <c r="X13" s="164">
        <f t="shared" ref="X13:X17" si="30">W13/W$23</f>
        <v>1.4394033375513633E-2</v>
      </c>
      <c r="Y13" s="165">
        <f>W13</f>
        <v>36.144741226168797</v>
      </c>
      <c r="Z13" s="166">
        <f t="shared" ref="Z13:Z17" si="31">Y13/Y$23</f>
        <v>1.498884995619449E-2</v>
      </c>
      <c r="AA13" s="163">
        <v>34.402420690667967</v>
      </c>
      <c r="AB13" s="164">
        <f t="shared" ref="AB13:AB17" si="32">AA13/AA$23</f>
        <v>1.2570347772247794E-2</v>
      </c>
      <c r="AC13" s="165">
        <f>AA13</f>
        <v>34.402420690667967</v>
      </c>
      <c r="AD13" s="166">
        <f t="shared" ref="AD13:AD17" si="33">AC13/AC$23</f>
        <v>1.3090453278632263E-2</v>
      </c>
      <c r="AE13" s="163">
        <v>35.765196752728158</v>
      </c>
      <c r="AF13" s="164">
        <f t="shared" ref="AF13:AF17" si="34">AE13/AE$23</f>
        <v>1.2290740029750979E-2</v>
      </c>
      <c r="AG13" s="165">
        <f>AE13</f>
        <v>35.765196752728158</v>
      </c>
      <c r="AH13" s="166">
        <f t="shared" ref="AH13:AH17" si="35">AG13/AG$23</f>
        <v>1.2795656140390384E-2</v>
      </c>
      <c r="AI13" s="163">
        <v>36.789195735240554</v>
      </c>
      <c r="AJ13" s="164">
        <f t="shared" ref="AJ13:AJ17" si="36">AI13/AI$23</f>
        <v>1.1774429254711163E-2</v>
      </c>
      <c r="AK13" s="165">
        <f>AI13</f>
        <v>36.789195735240554</v>
      </c>
      <c r="AL13" s="166">
        <f t="shared" ref="AL13:AL17" si="37">AK13/AK$23</f>
        <v>1.2241088486590713E-2</v>
      </c>
      <c r="AM13" s="163">
        <v>37.694130714620641</v>
      </c>
      <c r="AN13" s="164">
        <f t="shared" ref="AN13:AN17" si="38">AM13/AM$23</f>
        <v>1.1238621183295612E-2</v>
      </c>
      <c r="AO13" s="165">
        <f>AM13</f>
        <v>37.694130714620641</v>
      </c>
      <c r="AP13" s="166">
        <f t="shared" ref="AP13:AP17" si="39">AO13/AO$23</f>
        <v>1.1592864107099624E-2</v>
      </c>
      <c r="AQ13" s="205"/>
      <c r="AR13" s="161"/>
      <c r="AT13" s="159" t="s">
        <v>356</v>
      </c>
      <c r="AU13" s="159" t="s">
        <v>356</v>
      </c>
      <c r="AV13" s="159" t="s">
        <v>357</v>
      </c>
    </row>
    <row r="14" spans="2:48" x14ac:dyDescent="0.3">
      <c r="B14" s="162" t="s">
        <v>232</v>
      </c>
      <c r="C14" s="163">
        <v>63.704292469999992</v>
      </c>
      <c r="D14" s="164">
        <f t="shared" si="20"/>
        <v>2.5967441635753895E-2</v>
      </c>
      <c r="E14" s="165">
        <v>63.704292469999992</v>
      </c>
      <c r="F14" s="166">
        <f t="shared" si="21"/>
        <v>2.7282890997396201E-2</v>
      </c>
      <c r="G14" s="163">
        <v>56.367018363784439</v>
      </c>
      <c r="H14" s="164">
        <f t="shared" si="22"/>
        <v>2.6502334711763734E-2</v>
      </c>
      <c r="I14" s="165">
        <v>56.367018363784439</v>
      </c>
      <c r="J14" s="166">
        <f t="shared" si="23"/>
        <v>2.7604701293321515E-2</v>
      </c>
      <c r="K14" s="163">
        <v>56.173962175297405</v>
      </c>
      <c r="L14" s="164">
        <f t="shared" si="24"/>
        <v>2.6038021500966142E-2</v>
      </c>
      <c r="M14" s="165">
        <v>56.173962175297405</v>
      </c>
      <c r="N14" s="166">
        <f t="shared" si="25"/>
        <v>2.703282279326201E-2</v>
      </c>
      <c r="O14" s="163">
        <v>54.190861896611302</v>
      </c>
      <c r="P14" s="164">
        <f t="shared" si="26"/>
        <v>2.455578636238159E-2</v>
      </c>
      <c r="Q14" s="165">
        <f>O14</f>
        <v>54.190861896611302</v>
      </c>
      <c r="R14" s="166">
        <f t="shared" si="27"/>
        <v>2.5518698632975043E-2</v>
      </c>
      <c r="S14" s="163">
        <v>54.229687550000008</v>
      </c>
      <c r="T14" s="164">
        <f t="shared" si="28"/>
        <v>2.4990407839926621E-2</v>
      </c>
      <c r="U14" s="165">
        <f>S14</f>
        <v>54.229687550000008</v>
      </c>
      <c r="V14" s="166">
        <f t="shared" si="29"/>
        <v>2.6045536829312061E-2</v>
      </c>
      <c r="W14" s="163">
        <v>44.517945465822464</v>
      </c>
      <c r="X14" s="164">
        <f t="shared" si="30"/>
        <v>1.7728520695021888E-2</v>
      </c>
      <c r="Y14" s="165">
        <f>W14</f>
        <v>44.517945465822464</v>
      </c>
      <c r="Z14" s="166">
        <f t="shared" si="31"/>
        <v>1.8461131061083821E-2</v>
      </c>
      <c r="AA14" s="163">
        <v>46.676311171755344</v>
      </c>
      <c r="AB14" s="164">
        <f t="shared" si="32"/>
        <v>1.7055121482011836E-2</v>
      </c>
      <c r="AC14" s="165">
        <f>AA14</f>
        <v>46.676311171755344</v>
      </c>
      <c r="AD14" s="166">
        <f t="shared" si="33"/>
        <v>1.7760787129101899E-2</v>
      </c>
      <c r="AE14" s="163">
        <v>49.228305823605041</v>
      </c>
      <c r="AF14" s="164">
        <f t="shared" si="34"/>
        <v>1.691734881723676E-2</v>
      </c>
      <c r="AG14" s="165">
        <f>AE14</f>
        <v>49.228305823605041</v>
      </c>
      <c r="AH14" s="166">
        <f t="shared" si="35"/>
        <v>1.7612330726092772E-2</v>
      </c>
      <c r="AI14" s="163">
        <v>52.044756569088825</v>
      </c>
      <c r="AJ14" s="164">
        <f t="shared" si="36"/>
        <v>1.6656991055512497E-2</v>
      </c>
      <c r="AK14" s="165">
        <f>AI14</f>
        <v>52.044756569088825</v>
      </c>
      <c r="AL14" s="166">
        <f t="shared" si="37"/>
        <v>1.7317162218227652E-2</v>
      </c>
      <c r="AM14" s="163">
        <v>54.980327269300275</v>
      </c>
      <c r="AN14" s="164">
        <f t="shared" si="38"/>
        <v>1.6392553933432766E-2</v>
      </c>
      <c r="AO14" s="165">
        <f>AM14</f>
        <v>54.980327269300275</v>
      </c>
      <c r="AP14" s="166">
        <f t="shared" si="39"/>
        <v>1.6909249543978416E-2</v>
      </c>
      <c r="AQ14" s="205"/>
      <c r="AR14" s="161"/>
      <c r="AT14" s="159" t="s">
        <v>358</v>
      </c>
      <c r="AU14" s="159" t="s">
        <v>358</v>
      </c>
      <c r="AV14" s="159" t="s">
        <v>359</v>
      </c>
    </row>
    <row r="15" spans="2:48" x14ac:dyDescent="0.3">
      <c r="B15" s="162" t="s">
        <v>233</v>
      </c>
      <c r="C15" s="163">
        <v>18.312786769999999</v>
      </c>
      <c r="D15" s="164">
        <f t="shared" si="20"/>
        <v>7.4647437904113521E-3</v>
      </c>
      <c r="E15" s="165">
        <v>18.312786769999999</v>
      </c>
      <c r="F15" s="166">
        <f t="shared" si="21"/>
        <v>7.8428901088534349E-3</v>
      </c>
      <c r="G15" s="163">
        <v>14.251060595090557</v>
      </c>
      <c r="H15" s="164">
        <f t="shared" si="22"/>
        <v>6.7004852988885181E-3</v>
      </c>
      <c r="I15" s="165">
        <v>14.251060595090557</v>
      </c>
      <c r="J15" s="166">
        <f t="shared" si="23"/>
        <v>6.979192482766748E-3</v>
      </c>
      <c r="K15" s="163">
        <v>15.785276269326983</v>
      </c>
      <c r="L15" s="164">
        <f t="shared" si="24"/>
        <v>7.3168661597485139E-3</v>
      </c>
      <c r="M15" s="165">
        <v>15.785276269326983</v>
      </c>
      <c r="N15" s="166">
        <f t="shared" si="25"/>
        <v>7.5964122808316248E-3</v>
      </c>
      <c r="O15" s="163">
        <v>13.320753795041021</v>
      </c>
      <c r="P15" s="164">
        <f t="shared" si="26"/>
        <v>6.0361022675921973E-3</v>
      </c>
      <c r="Q15" s="165">
        <f>O15</f>
        <v>13.320753795041021</v>
      </c>
      <c r="R15" s="166">
        <f t="shared" si="27"/>
        <v>6.2727974747522341E-3</v>
      </c>
      <c r="S15" s="163">
        <v>15.858384800000003</v>
      </c>
      <c r="T15" s="164">
        <f t="shared" si="28"/>
        <v>7.3079437064632905E-3</v>
      </c>
      <c r="U15" s="165">
        <f>S15</f>
        <v>15.858384800000003</v>
      </c>
      <c r="V15" s="166">
        <f t="shared" si="29"/>
        <v>7.616495023707778E-3</v>
      </c>
      <c r="W15" s="163">
        <v>15.441879550178415</v>
      </c>
      <c r="X15" s="164">
        <f t="shared" si="30"/>
        <v>6.1494680024159467E-3</v>
      </c>
      <c r="Y15" s="165">
        <f>W15</f>
        <v>15.441879550178415</v>
      </c>
      <c r="Z15" s="166">
        <f t="shared" si="31"/>
        <v>6.4035875695155932E-3</v>
      </c>
      <c r="AA15" s="163">
        <v>13.867257456527616</v>
      </c>
      <c r="AB15" s="164">
        <f t="shared" si="32"/>
        <v>5.0669762585379271E-3</v>
      </c>
      <c r="AC15" s="165">
        <f>AA15</f>
        <v>13.867257456527616</v>
      </c>
      <c r="AD15" s="166">
        <f t="shared" si="33"/>
        <v>5.2766253709199389E-3</v>
      </c>
      <c r="AE15" s="163">
        <v>12.148744727423981</v>
      </c>
      <c r="AF15" s="164">
        <f t="shared" si="34"/>
        <v>4.1749263722751983E-3</v>
      </c>
      <c r="AG15" s="165">
        <f>AE15</f>
        <v>12.148744727423981</v>
      </c>
      <c r="AH15" s="166">
        <f t="shared" si="35"/>
        <v>4.346436597126792E-3</v>
      </c>
      <c r="AI15" s="163">
        <v>10.373864212129845</v>
      </c>
      <c r="AJ15" s="164">
        <f t="shared" si="36"/>
        <v>3.3201685392295283E-3</v>
      </c>
      <c r="AK15" s="165">
        <f>AI15</f>
        <v>10.373864212129845</v>
      </c>
      <c r="AL15" s="166">
        <f t="shared" si="37"/>
        <v>3.4517577030616147E-3</v>
      </c>
      <c r="AM15" s="163">
        <v>8.7345388770938843</v>
      </c>
      <c r="AN15" s="164">
        <f t="shared" si="38"/>
        <v>2.6042296715533724E-3</v>
      </c>
      <c r="AO15" s="165">
        <f>AM15</f>
        <v>8.7345388770938843</v>
      </c>
      <c r="AP15" s="166">
        <f t="shared" si="39"/>
        <v>2.6863153578722083E-3</v>
      </c>
      <c r="AQ15" s="205"/>
      <c r="AR15" s="161"/>
      <c r="AT15" s="159" t="s">
        <v>360</v>
      </c>
      <c r="AU15" s="159" t="s">
        <v>360</v>
      </c>
      <c r="AV15" s="159" t="s">
        <v>361</v>
      </c>
    </row>
    <row r="16" spans="2:48" x14ac:dyDescent="0.3">
      <c r="B16" s="168" t="s">
        <v>234</v>
      </c>
      <c r="C16" s="169">
        <v>29.864395319999982</v>
      </c>
      <c r="D16" s="170">
        <f t="shared" si="20"/>
        <v>1.2173464493375943E-2</v>
      </c>
      <c r="E16" s="180">
        <v>29.864395319999982</v>
      </c>
      <c r="F16" s="171">
        <f t="shared" si="21"/>
        <v>1.2790143499394694E-2</v>
      </c>
      <c r="G16" s="169">
        <v>50.782509108208536</v>
      </c>
      <c r="H16" s="170">
        <f t="shared" si="22"/>
        <v>2.3876640861203311E-2</v>
      </c>
      <c r="I16" s="180">
        <v>50.782509108208536</v>
      </c>
      <c r="J16" s="171">
        <f t="shared" si="23"/>
        <v>2.4869791511948222E-2</v>
      </c>
      <c r="K16" s="169">
        <v>54.088861959917253</v>
      </c>
      <c r="L16" s="170">
        <f t="shared" si="24"/>
        <v>2.5071525955034854E-2</v>
      </c>
      <c r="M16" s="180">
        <v>54.088861959917253</v>
      </c>
      <c r="N16" s="171">
        <f t="shared" si="25"/>
        <v>2.6029401591590905E-2</v>
      </c>
      <c r="O16" s="169">
        <v>50.0782387124802</v>
      </c>
      <c r="P16" s="170">
        <f t="shared" si="26"/>
        <v>2.2692212085021445E-2</v>
      </c>
      <c r="Q16" s="180">
        <f>O16</f>
        <v>50.0782387124802</v>
      </c>
      <c r="R16" s="171">
        <f t="shared" si="27"/>
        <v>2.3582047545434571E-2</v>
      </c>
      <c r="S16" s="169">
        <v>53.958212524494066</v>
      </c>
      <c r="T16" s="170">
        <f t="shared" si="28"/>
        <v>2.4865305300851639E-2</v>
      </c>
      <c r="U16" s="180">
        <f>S16</f>
        <v>53.958212524494066</v>
      </c>
      <c r="V16" s="171">
        <f t="shared" si="29"/>
        <v>2.5915152290980834E-2</v>
      </c>
      <c r="W16" s="169">
        <v>63.283494591164803</v>
      </c>
      <c r="X16" s="170">
        <f t="shared" si="30"/>
        <v>2.5201584030289517E-2</v>
      </c>
      <c r="Y16" s="180">
        <f>W16</f>
        <v>63.283494591164803</v>
      </c>
      <c r="Z16" s="171">
        <f t="shared" si="31"/>
        <v>2.624300999128102E-2</v>
      </c>
      <c r="AA16" s="169">
        <v>66.075486328191545</v>
      </c>
      <c r="AB16" s="170">
        <f t="shared" si="32"/>
        <v>2.4143412750925384E-2</v>
      </c>
      <c r="AC16" s="180">
        <f>AA16</f>
        <v>66.075486328191545</v>
      </c>
      <c r="AD16" s="171">
        <f t="shared" si="33"/>
        <v>2.5142360603616642E-2</v>
      </c>
      <c r="AE16" s="169">
        <v>68.933480882685743</v>
      </c>
      <c r="AF16" s="170">
        <f t="shared" si="34"/>
        <v>2.3689048846355698E-2</v>
      </c>
      <c r="AG16" s="180">
        <f>AE16</f>
        <v>68.933480882685743</v>
      </c>
      <c r="AH16" s="171">
        <f t="shared" si="35"/>
        <v>2.4662219085030995E-2</v>
      </c>
      <c r="AI16" s="169">
        <v>71.667567182748783</v>
      </c>
      <c r="AJ16" s="170">
        <f t="shared" si="36"/>
        <v>2.2937296746669888E-2</v>
      </c>
      <c r="AK16" s="180">
        <f>AI16</f>
        <v>71.667567182748783</v>
      </c>
      <c r="AL16" s="171">
        <f t="shared" si="37"/>
        <v>2.3846377012867206E-2</v>
      </c>
      <c r="AM16" s="169">
        <v>74.724519088688254</v>
      </c>
      <c r="AN16" s="170">
        <f t="shared" si="38"/>
        <v>2.2279345543203384E-2</v>
      </c>
      <c r="AO16" s="180">
        <f>AM16</f>
        <v>74.724519088688254</v>
      </c>
      <c r="AP16" s="171">
        <f t="shared" si="39"/>
        <v>2.298159365504426E-2</v>
      </c>
      <c r="AQ16" s="205"/>
      <c r="AR16" s="161"/>
      <c r="AT16" s="159" t="s">
        <v>362</v>
      </c>
      <c r="AU16" s="159" t="s">
        <v>362</v>
      </c>
      <c r="AV16" s="159" t="s">
        <v>363</v>
      </c>
    </row>
    <row r="17" spans="2:47" x14ac:dyDescent="0.3">
      <c r="B17" s="173" t="s">
        <v>235</v>
      </c>
      <c r="C17" s="174">
        <f>SUM(C13:C16)</f>
        <v>153.84531183999997</v>
      </c>
      <c r="D17" s="175">
        <f t="shared" si="20"/>
        <v>6.2711145532632545E-2</v>
      </c>
      <c r="E17" s="181">
        <f>SUM(E13:E16)</f>
        <v>153.84531183999997</v>
      </c>
      <c r="F17" s="177">
        <f t="shared" si="21"/>
        <v>6.5887944291474321E-2</v>
      </c>
      <c r="G17" s="174">
        <f>SUM(G13:G16)</f>
        <v>152.29559068334922</v>
      </c>
      <c r="H17" s="175">
        <f t="shared" si="22"/>
        <v>7.1605503299232889E-2</v>
      </c>
      <c r="I17" s="181">
        <f>SUM(I13:I16)</f>
        <v>152.29559068334922</v>
      </c>
      <c r="J17" s="177">
        <f t="shared" si="23"/>
        <v>7.4583939529519513E-2</v>
      </c>
      <c r="K17" s="174">
        <f>SUM(K13:K16)</f>
        <v>158.29406668245218</v>
      </c>
      <c r="L17" s="175">
        <f t="shared" si="24"/>
        <v>7.3373216916601383E-2</v>
      </c>
      <c r="M17" s="181">
        <f>SUM(M13:M16)</f>
        <v>158.29406668245218</v>
      </c>
      <c r="N17" s="177">
        <f t="shared" si="25"/>
        <v>7.6176493310156551E-2</v>
      </c>
      <c r="O17" s="174">
        <f>SUM(O13:O16)</f>
        <v>151.69535494687506</v>
      </c>
      <c r="P17" s="175">
        <f t="shared" si="26"/>
        <v>6.8738503095741366E-2</v>
      </c>
      <c r="Q17" s="181">
        <f>SUM(Q13:Q16)</f>
        <v>151.69535494687506</v>
      </c>
      <c r="R17" s="177">
        <f t="shared" si="27"/>
        <v>7.1433963429054684E-2</v>
      </c>
      <c r="S17" s="174">
        <f>SUM(S13:S16)</f>
        <v>163.80969824514065</v>
      </c>
      <c r="T17" s="175">
        <f t="shared" si="28"/>
        <v>7.5487640667429523E-2</v>
      </c>
      <c r="U17" s="181">
        <f>SUM(U13:U16)</f>
        <v>163.80969824514065</v>
      </c>
      <c r="V17" s="177">
        <f t="shared" si="29"/>
        <v>7.8674831469544501E-2</v>
      </c>
      <c r="W17" s="174">
        <f>SUM(W13:W16)</f>
        <v>159.38806083333449</v>
      </c>
      <c r="X17" s="175">
        <f t="shared" si="30"/>
        <v>6.3473606103240987E-2</v>
      </c>
      <c r="Y17" s="181">
        <f>SUM(Y13:Y16)</f>
        <v>159.38806083333449</v>
      </c>
      <c r="Z17" s="177">
        <f t="shared" si="31"/>
        <v>6.6096578578074924E-2</v>
      </c>
      <c r="AA17" s="174">
        <f>SUM(AA13:AA16)</f>
        <v>161.02147564714247</v>
      </c>
      <c r="AB17" s="175">
        <f t="shared" si="32"/>
        <v>5.8835858263722937E-2</v>
      </c>
      <c r="AC17" s="181">
        <f>SUM(AC13:AC16)</f>
        <v>161.02147564714247</v>
      </c>
      <c r="AD17" s="177">
        <f t="shared" si="33"/>
        <v>6.1270226382270747E-2</v>
      </c>
      <c r="AE17" s="174">
        <f>SUM(AE13:AE16)</f>
        <v>166.07572818644292</v>
      </c>
      <c r="AF17" s="175">
        <f t="shared" si="34"/>
        <v>5.7072064065618634E-2</v>
      </c>
      <c r="AG17" s="181">
        <f>SUM(AG13:AG16)</f>
        <v>166.07572818644292</v>
      </c>
      <c r="AH17" s="177">
        <f t="shared" si="35"/>
        <v>5.9416642548640937E-2</v>
      </c>
      <c r="AI17" s="174">
        <f>SUM(AI13:AI16)</f>
        <v>170.87538369920802</v>
      </c>
      <c r="AJ17" s="175">
        <f t="shared" si="36"/>
        <v>5.4688885596123081E-2</v>
      </c>
      <c r="AK17" s="181">
        <f>SUM(AK13:AK16)</f>
        <v>170.87538369920802</v>
      </c>
      <c r="AL17" s="177">
        <f t="shared" si="37"/>
        <v>5.6856385420747189E-2</v>
      </c>
      <c r="AM17" s="174">
        <f>SUM(AM13:AM16)</f>
        <v>176.13351594970305</v>
      </c>
      <c r="AN17" s="175">
        <f t="shared" si="38"/>
        <v>5.2514750331485137E-2</v>
      </c>
      <c r="AO17" s="181">
        <f>SUM(AO13:AO16)</f>
        <v>176.13351594970305</v>
      </c>
      <c r="AP17" s="177">
        <f t="shared" si="39"/>
        <v>5.4170022663994503E-2</v>
      </c>
      <c r="AQ17" s="205"/>
      <c r="AR17" s="161"/>
    </row>
    <row r="18" spans="2:47" x14ac:dyDescent="0.3">
      <c r="B18" s="162"/>
      <c r="C18" s="163"/>
      <c r="D18" s="164"/>
      <c r="E18" s="165"/>
      <c r="F18" s="166"/>
      <c r="G18" s="163"/>
      <c r="H18" s="164"/>
      <c r="I18" s="165"/>
      <c r="J18" s="166"/>
      <c r="K18" s="163"/>
      <c r="L18" s="164"/>
      <c r="M18" s="165"/>
      <c r="N18" s="166"/>
      <c r="O18" s="163"/>
      <c r="P18" s="164"/>
      <c r="Q18" s="165"/>
      <c r="R18" s="166"/>
      <c r="S18" s="163"/>
      <c r="T18" s="164"/>
      <c r="U18" s="165"/>
      <c r="V18" s="166"/>
      <c r="W18" s="163"/>
      <c r="X18" s="164"/>
      <c r="Y18" s="165"/>
      <c r="Z18" s="166"/>
      <c r="AA18" s="163"/>
      <c r="AB18" s="164"/>
      <c r="AC18" s="165"/>
      <c r="AD18" s="166"/>
      <c r="AE18" s="163"/>
      <c r="AF18" s="164"/>
      <c r="AG18" s="165"/>
      <c r="AH18" s="166"/>
      <c r="AI18" s="163"/>
      <c r="AJ18" s="164"/>
      <c r="AK18" s="165"/>
      <c r="AL18" s="166"/>
      <c r="AM18" s="163"/>
      <c r="AN18" s="164"/>
      <c r="AO18" s="165"/>
      <c r="AP18" s="166"/>
      <c r="AQ18" s="205"/>
      <c r="AR18" s="161"/>
    </row>
    <row r="19" spans="2:47" ht="12.75" customHeight="1" x14ac:dyDescent="0.3">
      <c r="B19" s="162" t="s">
        <v>236</v>
      </c>
      <c r="C19" s="163">
        <v>56.757927509999988</v>
      </c>
      <c r="D19" s="164">
        <f t="shared" ref="D19:D21" si="40">C19/C$23</f>
        <v>2.3135931863246945E-2</v>
      </c>
      <c r="E19" s="165">
        <v>0</v>
      </c>
      <c r="F19" s="166">
        <f t="shared" ref="F19:F21" si="41">E19/E$23</f>
        <v>0</v>
      </c>
      <c r="G19" s="163">
        <v>28.0853275474554</v>
      </c>
      <c r="H19" s="164">
        <f t="shared" ref="H19:H21" si="42">G19/G$23</f>
        <v>1.3205004854938505E-2</v>
      </c>
      <c r="I19" s="165">
        <v>0</v>
      </c>
      <c r="J19" s="166">
        <f t="shared" ref="J19:J21" si="43">I19/I$23</f>
        <v>0</v>
      </c>
      <c r="K19" s="163">
        <v>30.192688921783311</v>
      </c>
      <c r="L19" s="164">
        <f t="shared" ref="L19:L21" si="44">K19/K$23</f>
        <v>1.3995058437645518E-2</v>
      </c>
      <c r="M19" s="165">
        <v>0</v>
      </c>
      <c r="N19" s="166">
        <f t="shared" ref="N19:N21" si="45">M19/M$23</f>
        <v>0</v>
      </c>
      <c r="O19" s="163">
        <v>34.971029344602471</v>
      </c>
      <c r="P19" s="164">
        <f t="shared" ref="P19:P21" si="46">O19/O$23</f>
        <v>1.5846603936600888E-2</v>
      </c>
      <c r="Q19" s="165">
        <v>0</v>
      </c>
      <c r="R19" s="166">
        <f t="shared" ref="R19:R21" si="47">Q19/Q$23</f>
        <v>0</v>
      </c>
      <c r="S19" s="163">
        <v>36.731672184091096</v>
      </c>
      <c r="T19" s="164">
        <f t="shared" ref="T19:T21" si="48">S19/S$23</f>
        <v>1.6926881012850767E-2</v>
      </c>
      <c r="U19" s="165">
        <v>0</v>
      </c>
      <c r="V19" s="166">
        <f t="shared" ref="V19:V21" si="49">U19/U$23</f>
        <v>0</v>
      </c>
      <c r="W19" s="163">
        <v>40.153424577918514</v>
      </c>
      <c r="X19" s="164">
        <f t="shared" ref="X19:X21" si="50">W19/W$23</f>
        <v>1.5990423887646436E-2</v>
      </c>
      <c r="Y19" s="165">
        <v>0</v>
      </c>
      <c r="Z19" s="166">
        <f t="shared" ref="Z19:Z21" si="51">Y19/Y$23</f>
        <v>0</v>
      </c>
      <c r="AA19" s="163">
        <v>47.652955510207818</v>
      </c>
      <c r="AB19" s="164">
        <f t="shared" ref="AB19:AB21" si="52">AA19/AA$23</f>
        <v>1.7411978898951529E-2</v>
      </c>
      <c r="AC19" s="165">
        <v>0</v>
      </c>
      <c r="AD19" s="166">
        <f t="shared" ref="AD19:AD21" si="53">AC19/AC$23</f>
        <v>0</v>
      </c>
      <c r="AE19" s="163">
        <v>52.028632481026939</v>
      </c>
      <c r="AF19" s="164">
        <f t="shared" ref="AF19:AF21" si="54">AE19/AE$23</f>
        <v>1.7879683434957789E-2</v>
      </c>
      <c r="AG19" s="165">
        <v>0</v>
      </c>
      <c r="AH19" s="166">
        <f t="shared" ref="AH19:AH21" si="55">AG19/AG$23</f>
        <v>0</v>
      </c>
      <c r="AI19" s="163">
        <v>54.558283598488579</v>
      </c>
      <c r="AJ19" s="164">
        <f t="shared" ref="AJ19:AJ21" si="56">AI19/AI$23</f>
        <v>1.7461448603333315E-2</v>
      </c>
      <c r="AK19" s="165">
        <v>0</v>
      </c>
      <c r="AL19" s="166">
        <f t="shared" ref="AL19:AL21" si="57">AK19/AK$23</f>
        <v>0</v>
      </c>
      <c r="AM19" s="163">
        <v>56.157333728900092</v>
      </c>
      <c r="AN19" s="164">
        <f t="shared" ref="AN19:AN21" si="58">AM19/AM$23</f>
        <v>1.6743482034942306E-2</v>
      </c>
      <c r="AO19" s="165">
        <v>0</v>
      </c>
      <c r="AP19" s="166">
        <f t="shared" ref="AP19:AP21" si="59">AO19/AO$23</f>
        <v>0</v>
      </c>
      <c r="AQ19" s="205"/>
      <c r="AR19" s="161"/>
      <c r="AT19" s="159" t="s">
        <v>364</v>
      </c>
      <c r="AU19" s="159" t="s">
        <v>365</v>
      </c>
    </row>
    <row r="20" spans="2:47" x14ac:dyDescent="0.3">
      <c r="B20" s="168" t="s">
        <v>237</v>
      </c>
      <c r="C20" s="169">
        <v>61.525330709999999</v>
      </c>
      <c r="D20" s="170">
        <f t="shared" si="40"/>
        <v>2.5079243052338416E-2</v>
      </c>
      <c r="E20" s="180">
        <v>0</v>
      </c>
      <c r="F20" s="171">
        <f t="shared" si="41"/>
        <v>0</v>
      </c>
      <c r="G20" s="169">
        <v>56.849129529528575</v>
      </c>
      <c r="H20" s="170">
        <f t="shared" si="42"/>
        <v>2.6729011088370499E-2</v>
      </c>
      <c r="I20" s="180">
        <v>0</v>
      </c>
      <c r="J20" s="171">
        <f t="shared" si="43"/>
        <v>0</v>
      </c>
      <c r="K20" s="169">
        <v>49.198447662635765</v>
      </c>
      <c r="L20" s="170">
        <f t="shared" si="44"/>
        <v>2.2804697914244738E-2</v>
      </c>
      <c r="M20" s="180">
        <v>0</v>
      </c>
      <c r="N20" s="171">
        <f t="shared" si="45"/>
        <v>0</v>
      </c>
      <c r="O20" s="169">
        <v>48.301241887813262</v>
      </c>
      <c r="P20" s="170">
        <f t="shared" si="46"/>
        <v>2.1886992295817823E-2</v>
      </c>
      <c r="Q20" s="180">
        <v>0</v>
      </c>
      <c r="R20" s="171">
        <f t="shared" si="47"/>
        <v>0</v>
      </c>
      <c r="S20" s="169">
        <v>51.177866397583564</v>
      </c>
      <c r="T20" s="170">
        <f t="shared" si="48"/>
        <v>2.3584051677850562E-2</v>
      </c>
      <c r="U20" s="180">
        <v>0</v>
      </c>
      <c r="V20" s="171">
        <f t="shared" si="49"/>
        <v>0</v>
      </c>
      <c r="W20" s="169">
        <v>59.496590416411152</v>
      </c>
      <c r="X20" s="170">
        <f t="shared" si="50"/>
        <v>2.3693513333636926E-2</v>
      </c>
      <c r="Y20" s="180">
        <v>0</v>
      </c>
      <c r="Z20" s="171">
        <f t="shared" si="51"/>
        <v>0</v>
      </c>
      <c r="AA20" s="169">
        <v>61.084327192206331</v>
      </c>
      <c r="AB20" s="170">
        <f t="shared" si="52"/>
        <v>2.2319686255336511E-2</v>
      </c>
      <c r="AC20" s="180">
        <v>0</v>
      </c>
      <c r="AD20" s="171">
        <f t="shared" si="53"/>
        <v>0</v>
      </c>
      <c r="AE20" s="169">
        <v>62.797107624971751</v>
      </c>
      <c r="AF20" s="170">
        <f t="shared" si="54"/>
        <v>2.1580279000700489E-2</v>
      </c>
      <c r="AG20" s="180">
        <v>0</v>
      </c>
      <c r="AH20" s="171">
        <f t="shared" si="55"/>
        <v>0</v>
      </c>
      <c r="AI20" s="169">
        <v>64.555015506181775</v>
      </c>
      <c r="AJ20" s="170">
        <f t="shared" si="56"/>
        <v>2.0660915465086326E-2</v>
      </c>
      <c r="AK20" s="180">
        <v>0</v>
      </c>
      <c r="AL20" s="171">
        <f t="shared" si="57"/>
        <v>0</v>
      </c>
      <c r="AM20" s="169">
        <v>46.330222599969098</v>
      </c>
      <c r="AN20" s="170">
        <f t="shared" si="58"/>
        <v>1.3813498581009897E-2</v>
      </c>
      <c r="AO20" s="180">
        <v>0</v>
      </c>
      <c r="AP20" s="171">
        <f t="shared" si="59"/>
        <v>0</v>
      </c>
      <c r="AQ20" s="205"/>
      <c r="AR20" s="161"/>
      <c r="AT20" s="159" t="s">
        <v>366</v>
      </c>
      <c r="AU20" s="159" t="s">
        <v>367</v>
      </c>
    </row>
    <row r="21" spans="2:47" x14ac:dyDescent="0.3">
      <c r="B21" s="173" t="s">
        <v>238</v>
      </c>
      <c r="C21" s="174">
        <f>SUM(C19:C20)</f>
        <v>118.28325821999999</v>
      </c>
      <c r="D21" s="175">
        <f t="shared" si="40"/>
        <v>4.8215174915585364E-2</v>
      </c>
      <c r="E21" s="181">
        <f>SUM(E19:E20)</f>
        <v>0</v>
      </c>
      <c r="F21" s="177">
        <f t="shared" si="41"/>
        <v>0</v>
      </c>
      <c r="G21" s="174">
        <f>SUM(G19:G20)</f>
        <v>84.934457076983975</v>
      </c>
      <c r="H21" s="175">
        <f t="shared" si="42"/>
        <v>3.9934015943309004E-2</v>
      </c>
      <c r="I21" s="181">
        <f>SUM(I19:I20)</f>
        <v>0</v>
      </c>
      <c r="J21" s="177">
        <f t="shared" si="43"/>
        <v>0</v>
      </c>
      <c r="K21" s="174">
        <f>SUM(K19:K20)</f>
        <v>79.391136584419073</v>
      </c>
      <c r="L21" s="175">
        <f t="shared" si="44"/>
        <v>3.6799756351890249E-2</v>
      </c>
      <c r="M21" s="181">
        <f>SUM(M19:M20)</f>
        <v>0</v>
      </c>
      <c r="N21" s="177">
        <f t="shared" si="45"/>
        <v>0</v>
      </c>
      <c r="O21" s="174">
        <f>SUM(O19:O20)</f>
        <v>83.272271232415733</v>
      </c>
      <c r="P21" s="175">
        <f t="shared" si="46"/>
        <v>3.773359623241871E-2</v>
      </c>
      <c r="Q21" s="181">
        <f>SUM(Q19:Q20)</f>
        <v>0</v>
      </c>
      <c r="R21" s="177">
        <f t="shared" si="47"/>
        <v>0</v>
      </c>
      <c r="S21" s="174">
        <f>SUM(S19:S20)</f>
        <v>87.909538581674667</v>
      </c>
      <c r="T21" s="175">
        <f t="shared" si="48"/>
        <v>4.0510932690701329E-2</v>
      </c>
      <c r="U21" s="181">
        <f>SUM(U19:U20)</f>
        <v>0</v>
      </c>
      <c r="V21" s="177">
        <f t="shared" si="49"/>
        <v>0</v>
      </c>
      <c r="W21" s="174">
        <f>SUM(W19:W20)</f>
        <v>99.650014994329666</v>
      </c>
      <c r="X21" s="175">
        <f t="shared" si="50"/>
        <v>3.9683937221283362E-2</v>
      </c>
      <c r="Y21" s="181">
        <f>SUM(Y19:Y20)</f>
        <v>0</v>
      </c>
      <c r="Z21" s="177">
        <f t="shared" si="51"/>
        <v>0</v>
      </c>
      <c r="AA21" s="174">
        <f>SUM(AA19:AA20)</f>
        <v>108.73728270241415</v>
      </c>
      <c r="AB21" s="175">
        <f t="shared" si="52"/>
        <v>3.973166515428804E-2</v>
      </c>
      <c r="AC21" s="181">
        <f>SUM(AC19:AC20)</f>
        <v>0</v>
      </c>
      <c r="AD21" s="177">
        <f t="shared" si="53"/>
        <v>0</v>
      </c>
      <c r="AE21" s="174">
        <f>SUM(AE19:AE20)</f>
        <v>114.82574010599869</v>
      </c>
      <c r="AF21" s="175">
        <f t="shared" si="54"/>
        <v>3.9459962435658275E-2</v>
      </c>
      <c r="AG21" s="181">
        <f>SUM(AG19:AG20)</f>
        <v>0</v>
      </c>
      <c r="AH21" s="177">
        <f t="shared" si="55"/>
        <v>0</v>
      </c>
      <c r="AI21" s="174">
        <f>SUM(AI19:AI20)</f>
        <v>119.11329910467035</v>
      </c>
      <c r="AJ21" s="175">
        <f t="shared" si="56"/>
        <v>3.8122364068419637E-2</v>
      </c>
      <c r="AK21" s="181">
        <f>SUM(AK19:AK20)</f>
        <v>0</v>
      </c>
      <c r="AL21" s="177">
        <f t="shared" si="57"/>
        <v>0</v>
      </c>
      <c r="AM21" s="174">
        <f>SUM(AM19:AM20)</f>
        <v>102.48755632886919</v>
      </c>
      <c r="AN21" s="175">
        <f t="shared" si="58"/>
        <v>3.0556980615952203E-2</v>
      </c>
      <c r="AO21" s="181">
        <f>SUM(AO19:AO20)</f>
        <v>0</v>
      </c>
      <c r="AP21" s="177">
        <f t="shared" si="59"/>
        <v>0</v>
      </c>
      <c r="AQ21" s="205"/>
      <c r="AR21" s="161"/>
    </row>
    <row r="22" spans="2:47" x14ac:dyDescent="0.3">
      <c r="B22" s="162"/>
      <c r="C22" s="163"/>
      <c r="D22" s="164"/>
      <c r="E22" s="165"/>
      <c r="F22" s="166"/>
      <c r="G22" s="163"/>
      <c r="H22" s="164"/>
      <c r="I22" s="165"/>
      <c r="J22" s="166"/>
      <c r="K22" s="163"/>
      <c r="L22" s="164"/>
      <c r="M22" s="165"/>
      <c r="N22" s="166"/>
      <c r="O22" s="163"/>
      <c r="P22" s="164"/>
      <c r="Q22" s="165"/>
      <c r="R22" s="166"/>
      <c r="S22" s="163"/>
      <c r="T22" s="164"/>
      <c r="U22" s="165"/>
      <c r="V22" s="166"/>
      <c r="W22" s="163"/>
      <c r="X22" s="164"/>
      <c r="Y22" s="165"/>
      <c r="Z22" s="166"/>
      <c r="AA22" s="163"/>
      <c r="AB22" s="164"/>
      <c r="AC22" s="165"/>
      <c r="AD22" s="166"/>
      <c r="AE22" s="163"/>
      <c r="AF22" s="164"/>
      <c r="AG22" s="165"/>
      <c r="AH22" s="166"/>
      <c r="AI22" s="163"/>
      <c r="AJ22" s="164"/>
      <c r="AK22" s="165"/>
      <c r="AL22" s="166"/>
      <c r="AM22" s="163"/>
      <c r="AN22" s="164"/>
      <c r="AO22" s="165"/>
      <c r="AP22" s="166"/>
      <c r="AQ22" s="205"/>
      <c r="AR22" s="161"/>
    </row>
    <row r="23" spans="2:47" x14ac:dyDescent="0.3">
      <c r="B23" s="182" t="s">
        <v>239</v>
      </c>
      <c r="C23" s="183">
        <f>C11+C17+C21</f>
        <v>2453.2371484099999</v>
      </c>
      <c r="D23" s="184">
        <f>C23/C$23</f>
        <v>1</v>
      </c>
      <c r="E23" s="185">
        <f>E11+E17+E21</f>
        <v>2334.95389019</v>
      </c>
      <c r="F23" s="186">
        <f>E23/E$23</f>
        <v>1</v>
      </c>
      <c r="G23" s="183">
        <f>G11+G17+G21</f>
        <v>2126.8699145500004</v>
      </c>
      <c r="H23" s="184">
        <f>G23/G$23</f>
        <v>1</v>
      </c>
      <c r="I23" s="185">
        <f>I11+I17+I21</f>
        <v>2041.9354574730164</v>
      </c>
      <c r="J23" s="186">
        <f>I23/I$23</f>
        <v>1</v>
      </c>
      <c r="K23" s="183">
        <f>K11+K17+K21</f>
        <v>2157.3821257200002</v>
      </c>
      <c r="L23" s="184">
        <f>K23/K$23</f>
        <v>1</v>
      </c>
      <c r="M23" s="185">
        <f>M11+M17+M21</f>
        <v>2077.990989135581</v>
      </c>
      <c r="N23" s="186">
        <f>M23/M$23</f>
        <v>1</v>
      </c>
      <c r="O23" s="183">
        <f>O11+O17+O21</f>
        <v>2206.8469360700001</v>
      </c>
      <c r="P23" s="184">
        <f>O23/O$23</f>
        <v>1</v>
      </c>
      <c r="Q23" s="185">
        <f>Q11+Q17+Q21</f>
        <v>2123.5746648375844</v>
      </c>
      <c r="R23" s="186">
        <f>Q23/Q$23</f>
        <v>1</v>
      </c>
      <c r="S23" s="183">
        <f>S11+S17+S21</f>
        <v>2170.0201092100001</v>
      </c>
      <c r="T23" s="184">
        <f>S23/S$23</f>
        <v>1</v>
      </c>
      <c r="U23" s="185">
        <f>U11+U17+U21</f>
        <v>2082.1105706283256</v>
      </c>
      <c r="V23" s="186">
        <f>U23/U$23</f>
        <v>1</v>
      </c>
      <c r="W23" s="183">
        <f>W11+W17+W21</f>
        <v>2511.091942280495</v>
      </c>
      <c r="X23" s="184">
        <f>W23/W$23</f>
        <v>1</v>
      </c>
      <c r="Y23" s="185">
        <f>Y11+Y17+Y21</f>
        <v>2411.4419272861655</v>
      </c>
      <c r="Z23" s="186">
        <f>Y23/Y$23</f>
        <v>1</v>
      </c>
      <c r="AA23" s="183">
        <f>AA11+AA17+AA21</f>
        <v>2736.7914805523492</v>
      </c>
      <c r="AB23" s="184">
        <f>AA23/AA$23</f>
        <v>1</v>
      </c>
      <c r="AC23" s="185">
        <f>AC11+AC17+AC21</f>
        <v>2628.054197849935</v>
      </c>
      <c r="AD23" s="186">
        <f>AC23/AC$23</f>
        <v>1</v>
      </c>
      <c r="AE23" s="183">
        <f>AE11+AE17+AE21</f>
        <v>2909.9302943642842</v>
      </c>
      <c r="AF23" s="184">
        <f>AE23/AE$23</f>
        <v>1</v>
      </c>
      <c r="AG23" s="185">
        <f>AG11+AG17+AG21</f>
        <v>2795.1045542582856</v>
      </c>
      <c r="AH23" s="186">
        <f>AG23/AG$23</f>
        <v>1</v>
      </c>
      <c r="AI23" s="183">
        <f>AI11+AI17+AI21</f>
        <v>3124.499280550735</v>
      </c>
      <c r="AJ23" s="184">
        <f>AI23/AI$23</f>
        <v>1</v>
      </c>
      <c r="AK23" s="185">
        <f>AK11+AK17+AK21</f>
        <v>3005.3859814460648</v>
      </c>
      <c r="AL23" s="186">
        <f>AK23/AK$23</f>
        <v>1</v>
      </c>
      <c r="AM23" s="183">
        <f>AM11+AM17+AM21</f>
        <v>3353.9817829830276</v>
      </c>
      <c r="AN23" s="184">
        <f>AM23/AM$23</f>
        <v>1</v>
      </c>
      <c r="AO23" s="185">
        <f>AO11+AO17+AO21</f>
        <v>3251.4942266541584</v>
      </c>
      <c r="AP23" s="186">
        <f>AO23/AO$23</f>
        <v>1</v>
      </c>
      <c r="AQ23" s="206"/>
      <c r="AR23" s="161"/>
    </row>
    <row r="24" spans="2:47" x14ac:dyDescent="0.3">
      <c r="B24" s="161"/>
      <c r="C24" s="161"/>
      <c r="D24" s="161"/>
      <c r="E24" s="161"/>
      <c r="F24" s="161"/>
      <c r="G24" s="161"/>
      <c r="H24" s="161"/>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c r="AF24" s="161"/>
      <c r="AG24" s="161"/>
      <c r="AH24" s="161"/>
      <c r="AI24" s="161"/>
      <c r="AJ24" s="161"/>
      <c r="AK24" s="161"/>
      <c r="AL24" s="161"/>
      <c r="AM24" s="161"/>
      <c r="AN24" s="161"/>
      <c r="AO24" s="161"/>
      <c r="AP24" s="161"/>
      <c r="AQ24" s="161"/>
      <c r="AR24" s="161"/>
    </row>
    <row r="25" spans="2:47" x14ac:dyDescent="0.3">
      <c r="D25" s="187"/>
      <c r="H25" s="187"/>
      <c r="L25" s="187"/>
      <c r="P25" s="187"/>
      <c r="T25" s="187"/>
      <c r="W25" s="165">
        <v>0</v>
      </c>
      <c r="X25" s="187"/>
      <c r="AA25" s="165">
        <v>0</v>
      </c>
      <c r="AB25" s="187"/>
      <c r="AE25" s="165">
        <v>0</v>
      </c>
      <c r="AF25" s="187"/>
      <c r="AI25" s="165">
        <v>0</v>
      </c>
      <c r="AJ25" s="187"/>
      <c r="AM25" s="165">
        <v>0</v>
      </c>
      <c r="AN25" s="187"/>
    </row>
    <row r="28" spans="2:47" x14ac:dyDescent="0.3">
      <c r="W28" s="188"/>
      <c r="AA28" s="188"/>
      <c r="AE28" s="188"/>
      <c r="AI28" s="188"/>
      <c r="AM28" s="188"/>
    </row>
    <row r="29" spans="2:47" x14ac:dyDescent="0.3">
      <c r="W29" s="189"/>
      <c r="AA29" s="189"/>
      <c r="AE29" s="189"/>
      <c r="AI29" s="189"/>
      <c r="AM29" s="189"/>
      <c r="AN29" s="167"/>
    </row>
  </sheetData>
  <mergeCells count="33">
    <mergeCell ref="B6:B8"/>
    <mergeCell ref="C6:F6"/>
    <mergeCell ref="G6:J6"/>
    <mergeCell ref="K6:N6"/>
    <mergeCell ref="O6:R6"/>
    <mergeCell ref="C7:D7"/>
    <mergeCell ref="E7:F7"/>
    <mergeCell ref="G7:H7"/>
    <mergeCell ref="I7:J7"/>
    <mergeCell ref="K7:L7"/>
    <mergeCell ref="M7:N7"/>
    <mergeCell ref="O7:P7"/>
    <mergeCell ref="Q7:R7"/>
    <mergeCell ref="AM6:AP6"/>
    <mergeCell ref="AQ6:AQ8"/>
    <mergeCell ref="W7:X7"/>
    <mergeCell ref="Y7:Z7"/>
    <mergeCell ref="AA7:AB7"/>
    <mergeCell ref="AC7:AD7"/>
    <mergeCell ref="U7:V7"/>
    <mergeCell ref="W6:Z6"/>
    <mergeCell ref="AA6:AD6"/>
    <mergeCell ref="AE6:AH6"/>
    <mergeCell ref="AI6:AL6"/>
    <mergeCell ref="S6:V6"/>
    <mergeCell ref="S7:T7"/>
    <mergeCell ref="AQ9:AQ23"/>
    <mergeCell ref="AE7:AF7"/>
    <mergeCell ref="AG7:AH7"/>
    <mergeCell ref="AI7:AJ7"/>
    <mergeCell ref="AK7:AL7"/>
    <mergeCell ref="AM7:AN7"/>
    <mergeCell ref="AO7:AP7"/>
  </mergeCells>
  <pageMargins left="0.7" right="0.7" top="0.75" bottom="0.75" header="0.3" footer="0.3"/>
  <pageSetup paperSize="9" scale="33" orientation="portrait" r:id="rId1"/>
  <headerFooter>
    <oddFooter>&amp;L&amp;1#&amp;"Calibri"&amp;8&amp;K000000For Official use only</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491839A9FD1E54B934055EE941647FE" ma:contentTypeVersion="20" ma:contentTypeDescription="Create a new document." ma:contentTypeScope="" ma:versionID="4889acc6d0a0fabbdb65eff736ca2b86">
  <xsd:schema xmlns:xsd="http://www.w3.org/2001/XMLSchema" xmlns:xs="http://www.w3.org/2001/XMLSchema" xmlns:p="http://schemas.microsoft.com/office/2006/metadata/properties" xmlns:ns1="http://schemas.microsoft.com/sharepoint/v3" xmlns:ns2="22bb1572-9652-4799-87f4-00cf85b5992b" xmlns:ns3="7979ed89-640b-4b5b-af66-a44d5fa4dbe0" targetNamespace="http://schemas.microsoft.com/office/2006/metadata/properties" ma:root="true" ma:fieldsID="a24e412a3c7e46a7c7a7b963ae228548" ns1:_="" ns2:_="" ns3:_="">
    <xsd:import namespace="http://schemas.microsoft.com/sharepoint/v3"/>
    <xsd:import namespace="22bb1572-9652-4799-87f4-00cf85b5992b"/>
    <xsd:import namespace="7979ed89-640b-4b5b-af66-a44d5fa4dbe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LengthInSeconds" minOccurs="0"/>
                <xsd:element ref="ns2:Categorisation" minOccurs="0"/>
                <xsd:element ref="ns1:_ip_UnifiedCompliancePolicyProperties" minOccurs="0"/>
                <xsd:element ref="ns1:_ip_UnifiedCompliancePolicyUIAction"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bb1572-9652-4799-87f4-00cf85b5992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Categorisation" ma:index="21" nillable="true" ma:displayName="Categorisation" ma:format="Dropdown" ma:internalName="Categorisation">
      <xsd:complexType>
        <xsd:complexContent>
          <xsd:extension base="dms:MultiChoiceFillIn">
            <xsd:sequence>
              <xsd:element name="Value" maxOccurs="unbounded" minOccurs="0" nillable="true">
                <xsd:simpleType>
                  <xsd:union memberTypes="dms:Text">
                    <xsd:simpleType>
                      <xsd:restriction base="dms:Choice">
                        <xsd:enumeration value="Resilience"/>
                        <xsd:enumeration value="Net Zero"/>
                        <xsd:enumeration value="Cust Exp"/>
                        <xsd:enumeration value="Affordability"/>
                        <xsd:enumeration value="CALD"/>
                        <xsd:enumeration value="SME"/>
                      </xsd:restriction>
                    </xsd:simpleType>
                  </xsd:union>
                </xsd:simpleType>
              </xsd:element>
            </xsd:sequence>
          </xsd:extension>
        </xsd:complexContent>
      </xsd:complex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1a43c2ec-38d9-4aa0-904c-c7efe2e8e16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79ed89-640b-4b5b-af66-a44d5fa4dbe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67c57ebc-c584-4f1b-9635-dab64e8d9de8}" ma:internalName="TaxCatchAll" ma:showField="CatchAllData" ma:web="7979ed89-640b-4b5b-af66-a44d5fa4dbe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80FB8F5-461F-4FD1-AB37-CA385379F3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bb1572-9652-4799-87f4-00cf85b5992b"/>
    <ds:schemaRef ds:uri="7979ed89-640b-4b5b-af66-a44d5fa4db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63D9BE1-09BE-42CC-9E7E-24C2D1AE672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23</vt:i4>
      </vt:variant>
    </vt:vector>
  </HeadingPairs>
  <TitlesOfParts>
    <vt:vector size="41" baseType="lpstr">
      <vt:lpstr>Coverpage</vt:lpstr>
      <vt:lpstr>Index</vt:lpstr>
      <vt:lpstr>Input|General</vt:lpstr>
      <vt:lpstr>Input|Inflation</vt:lpstr>
      <vt:lpstr>Calc|CPI Indexes</vt:lpstr>
      <vt:lpstr>Calc|Cyber security</vt:lpstr>
      <vt:lpstr>Calc|Insurance premiums</vt:lpstr>
      <vt:lpstr>Calc|Climate resilience</vt:lpstr>
      <vt:lpstr>Calc|Smart meter data</vt:lpstr>
      <vt:lpstr>Calc|Network innovation program</vt:lpstr>
      <vt:lpstr>Calc|ICT enablement for CER</vt:lpstr>
      <vt:lpstr>Calc|Property</vt:lpstr>
      <vt:lpstr>Calc|BY Adj CAM adjustment</vt:lpstr>
      <vt:lpstr>Output|Step Changes</vt:lpstr>
      <vt:lpstr>Output|Category Specific</vt:lpstr>
      <vt:lpstr>Output|Base Year Adjustments</vt:lpstr>
      <vt:lpstr>Lookup|Tables</vt:lpstr>
      <vt:lpstr>Workings - CAM Allocators</vt:lpstr>
      <vt:lpstr>BaseYear</vt:lpstr>
      <vt:lpstr>'Lookup|Tables'!dollars</vt:lpstr>
      <vt:lpstr>'Lookup|Tables'!factor</vt:lpstr>
      <vt:lpstr>'Calc|BY Adj CAM adjustment'!FPFirstYear</vt:lpstr>
      <vt:lpstr>FPFirstYear</vt:lpstr>
      <vt:lpstr>'Calc|BY Adj CAM adjustment'!FPLastYear</vt:lpstr>
      <vt:lpstr>FPLastYear</vt:lpstr>
      <vt:lpstr>'Lookup|Tables'!millions</vt:lpstr>
      <vt:lpstr>month</vt:lpstr>
      <vt:lpstr>'Lookup|Tables'!Nominal_to_Real</vt:lpstr>
      <vt:lpstr>Nominal_to_Real</vt:lpstr>
      <vt:lpstr>NSP</vt:lpstr>
      <vt:lpstr>'Lookup|Tables'!number</vt:lpstr>
      <vt:lpstr>'Lookup|Tables'!percent</vt:lpstr>
      <vt:lpstr>percent</vt:lpstr>
      <vt:lpstr>'Calc|BY Adj CAM adjustment'!PPFirstYear</vt:lpstr>
      <vt:lpstr>'Lookup|Tables'!PPFirstYear</vt:lpstr>
      <vt:lpstr>PPFirstYear</vt:lpstr>
      <vt:lpstr>'Calc|BY Adj CAM adjustment'!PPLastYear</vt:lpstr>
      <vt:lpstr>'Lookup|Tables'!PPLastYear</vt:lpstr>
      <vt:lpstr>PPLastYear</vt:lpstr>
      <vt:lpstr>'Lookup|Tables'!thousands</vt:lpstr>
      <vt:lpstr>'Lookup|Tables'!unit</vt:lpstr>
    </vt:vector>
  </TitlesOfParts>
  <Manager/>
  <Company>Ausgrid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Marlene Garcia</dc:creator>
  <cp:keywords/>
  <dc:description/>
  <cp:lastModifiedBy>Stefanie Strauss</cp:lastModifiedBy>
  <cp:revision/>
  <dcterms:created xsi:type="dcterms:W3CDTF">2022-10-24T01:22:36Z</dcterms:created>
  <dcterms:modified xsi:type="dcterms:W3CDTF">2023-11-30T00:15:21Z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95930eb-db2c-4917-a4e2-4c584d225a4f_Enabled">
    <vt:lpwstr>true</vt:lpwstr>
  </property>
  <property fmtid="{D5CDD505-2E9C-101B-9397-08002B2CF9AE}" pid="3" name="MSIP_Label_895930eb-db2c-4917-a4e2-4c584d225a4f_SetDate">
    <vt:lpwstr>2022-11-16T06:53:57Z</vt:lpwstr>
  </property>
  <property fmtid="{D5CDD505-2E9C-101B-9397-08002B2CF9AE}" pid="4" name="MSIP_Label_895930eb-db2c-4917-a4e2-4c584d225a4f_Method">
    <vt:lpwstr>Standard</vt:lpwstr>
  </property>
  <property fmtid="{D5CDD505-2E9C-101B-9397-08002B2CF9AE}" pid="5" name="MSIP_Label_895930eb-db2c-4917-a4e2-4c584d225a4f_Name">
    <vt:lpwstr>AG-For Official use only</vt:lpwstr>
  </property>
  <property fmtid="{D5CDD505-2E9C-101B-9397-08002B2CF9AE}" pid="6" name="MSIP_Label_895930eb-db2c-4917-a4e2-4c584d225a4f_SiteId">
    <vt:lpwstr>11302428-4f10-4c14-a17f-b368bb82853d</vt:lpwstr>
  </property>
  <property fmtid="{D5CDD505-2E9C-101B-9397-08002B2CF9AE}" pid="7" name="MSIP_Label_895930eb-db2c-4917-a4e2-4c584d225a4f_ActionId">
    <vt:lpwstr>cf4a3d76-1cb7-4dc3-a970-a1fc39aa8e48</vt:lpwstr>
  </property>
  <property fmtid="{D5CDD505-2E9C-101B-9397-08002B2CF9AE}" pid="8" name="MSIP_Label_895930eb-db2c-4917-a4e2-4c584d225a4f_ContentBits">
    <vt:lpwstr>2</vt:lpwstr>
  </property>
</Properties>
</file>