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492A3F47-3C3B-430B-B2D8-7A24B0B202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pening RAB" sheetId="2" r:id="rId1"/>
    <sheet name="Equity raising costs" sheetId="1" r:id="rId2"/>
  </sheets>
  <externalReferences>
    <externalReference r:id="rId3"/>
  </externalReferences>
  <definedNames>
    <definedName name="Drpc">'[1]PTRM input'!$G$496</definedName>
    <definedName name="Drpt">'[1]PTRM input'!$G$497</definedName>
    <definedName name="Icpr">'[1]PTRM input'!$G$494</definedName>
    <definedName name="Seo">'[1]PTRM input'!$G$495</definedName>
    <definedName name="vanilla01">[1]WACC!$G$18</definedName>
    <definedName name="vanilla02">[1]WACC!$H$18</definedName>
    <definedName name="vanilla03">[1]WACC!$I$18</definedName>
    <definedName name="vanilla04">[1]WACC!$J$18</definedName>
    <definedName name="vanilla05">[1]WACC!$K$18</definedName>
    <definedName name="vanilla06">[1]WACC!$L$18</definedName>
    <definedName name="vanilla07">[1]WACC!$M$18</definedName>
    <definedName name="vanilla08">[1]WACC!$N$18</definedName>
    <definedName name="vanilla09">[1]WACC!$O$18</definedName>
    <definedName name="vanilla10">[1]WACC!$P$18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25" i="1"/>
  <c r="F18" i="2" l="1"/>
  <c r="E18" i="2"/>
  <c r="D18" i="2"/>
  <c r="C18" i="2"/>
  <c r="C15" i="2"/>
  <c r="F6" i="2"/>
  <c r="E6" i="2"/>
  <c r="D6" i="2"/>
  <c r="C6" i="2"/>
  <c r="C8" i="1" s="1"/>
  <c r="G5" i="2"/>
  <c r="G4" i="2"/>
  <c r="C9" i="1"/>
  <c r="C8" i="2" s="1"/>
  <c r="C17" i="2" s="1"/>
  <c r="F19" i="1"/>
  <c r="E19" i="1"/>
  <c r="D19" i="1"/>
  <c r="C19" i="1"/>
  <c r="C7" i="1" l="1"/>
  <c r="G19" i="1"/>
  <c r="D16" i="2"/>
  <c r="D20" i="2" s="1"/>
  <c r="D8" i="1"/>
  <c r="E16" i="2"/>
  <c r="E20" i="2" s="1"/>
  <c r="E8" i="1"/>
  <c r="F16" i="2"/>
  <c r="F20" i="2" s="1"/>
  <c r="F8" i="1"/>
  <c r="G9" i="1"/>
  <c r="C16" i="2"/>
  <c r="C20" i="2" s="1"/>
  <c r="G6" i="2"/>
  <c r="C21" i="2"/>
  <c r="C10" i="1" s="1"/>
  <c r="C19" i="2"/>
  <c r="G8" i="1" l="1"/>
  <c r="C11" i="1"/>
  <c r="C12" i="1" s="1"/>
  <c r="C22" i="2"/>
  <c r="D27" i="1"/>
  <c r="E27" i="1"/>
  <c r="F27" i="1"/>
  <c r="C27" i="1"/>
  <c r="C23" i="2" l="1"/>
  <c r="D15" i="2" s="1"/>
  <c r="D28" i="1"/>
  <c r="C28" i="1"/>
  <c r="E68" i="1"/>
  <c r="F68" i="1" s="1"/>
  <c r="D46" i="1"/>
  <c r="C46" i="1"/>
  <c r="F29" i="1"/>
  <c r="E29" i="1"/>
  <c r="D29" i="1"/>
  <c r="C29" i="1"/>
  <c r="D7" i="1" l="1"/>
  <c r="D19" i="2"/>
  <c r="D11" i="1" s="1"/>
  <c r="D21" i="2"/>
  <c r="D10" i="1" s="1"/>
  <c r="E46" i="1"/>
  <c r="G29" i="1"/>
  <c r="F46" i="1"/>
  <c r="D30" i="1"/>
  <c r="D37" i="1" s="1"/>
  <c r="D43" i="1" s="1"/>
  <c r="C30" i="1"/>
  <c r="D12" i="1" l="1"/>
  <c r="D34" i="1" s="1"/>
  <c r="D35" i="1" s="1"/>
  <c r="D36" i="1" s="1"/>
  <c r="D42" i="1" s="1"/>
  <c r="D44" i="1" s="1"/>
  <c r="D22" i="2"/>
  <c r="D23" i="2" s="1"/>
  <c r="E15" i="2" s="1"/>
  <c r="G46" i="1"/>
  <c r="C37" i="1"/>
  <c r="D38" i="1" l="1"/>
  <c r="E21" i="2"/>
  <c r="E10" i="1" s="1"/>
  <c r="E7" i="1"/>
  <c r="E19" i="2"/>
  <c r="E11" i="1" s="1"/>
  <c r="E28" i="1"/>
  <c r="C43" i="1"/>
  <c r="E22" i="2" l="1"/>
  <c r="E12" i="1"/>
  <c r="E34" i="1" s="1"/>
  <c r="E35" i="1" s="1"/>
  <c r="E36" i="1" s="1"/>
  <c r="E42" i="1" s="1"/>
  <c r="E30" i="1"/>
  <c r="G27" i="1"/>
  <c r="G24" i="1"/>
  <c r="G26" i="1"/>
  <c r="G23" i="1"/>
  <c r="E23" i="2" l="1"/>
  <c r="F15" i="2" s="1"/>
  <c r="E37" i="1"/>
  <c r="C34" i="1"/>
  <c r="F21" i="2" l="1"/>
  <c r="F10" i="1" s="1"/>
  <c r="G10" i="1" s="1"/>
  <c r="F19" i="2"/>
  <c r="F7" i="1"/>
  <c r="G7" i="1" s="1"/>
  <c r="F28" i="1"/>
  <c r="E43" i="1"/>
  <c r="E38" i="1"/>
  <c r="C35" i="1"/>
  <c r="F11" i="1" l="1"/>
  <c r="F22" i="2"/>
  <c r="F23" i="2" s="1"/>
  <c r="F30" i="1"/>
  <c r="G28" i="1"/>
  <c r="E44" i="1"/>
  <c r="C36" i="1"/>
  <c r="C38" i="1" s="1"/>
  <c r="F12" i="1" l="1"/>
  <c r="G11" i="1"/>
  <c r="F37" i="1"/>
  <c r="G30" i="1"/>
  <c r="C42" i="1"/>
  <c r="F34" i="1" l="1"/>
  <c r="G12" i="1"/>
  <c r="F43" i="1"/>
  <c r="G37" i="1"/>
  <c r="C44" i="1"/>
  <c r="F35" i="1" l="1"/>
  <c r="G34" i="1"/>
  <c r="G43" i="1"/>
  <c r="F36" i="1" l="1"/>
  <c r="G35" i="1"/>
  <c r="F42" i="1" l="1"/>
  <c r="G36" i="1"/>
  <c r="F38" i="1"/>
  <c r="G38" i="1" s="1"/>
  <c r="G42" i="1" l="1"/>
  <c r="F44" i="1"/>
  <c r="G44" i="1" s="1"/>
  <c r="G50" i="1" l="1"/>
  <c r="G51" i="1"/>
  <c r="G55" i="1" s="1"/>
  <c r="G54" i="1" l="1"/>
  <c r="G56" i="1" s="1"/>
  <c r="G62" i="1" s="1"/>
  <c r="G64" i="1" s="1"/>
  <c r="G65" i="1" s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Value determined through iteration using Goal Seek function.  See cell G61.
</t>
        </r>
      </text>
    </comment>
    <comment ref="B2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Interest payments are included in the Capitalised allowed return (Row 11), so a separate allowance is not required.
</t>
        </r>
      </text>
    </comment>
  </commentList>
</comments>
</file>

<file path=xl/sharedStrings.xml><?xml version="1.0" encoding="utf-8"?>
<sst xmlns="http://schemas.openxmlformats.org/spreadsheetml/2006/main" count="100" uniqueCount="77">
  <si>
    <t>Total</t>
  </si>
  <si>
    <t>Opening RAB</t>
  </si>
  <si>
    <t>Dividend Assessment ($m Nominal)</t>
  </si>
  <si>
    <t>Tax Payable</t>
  </si>
  <si>
    <t>Dividends</t>
  </si>
  <si>
    <t>Dividend Reinvestment</t>
  </si>
  <si>
    <t>Benchmark Cash Flows ($m Nominal)</t>
  </si>
  <si>
    <t>Revenue (smoothed)</t>
  </si>
  <si>
    <t>Opex</t>
  </si>
  <si>
    <t>Interest Payment</t>
  </si>
  <si>
    <t>Revenue Adjustments</t>
  </si>
  <si>
    <t>Internal Cash Flow</t>
  </si>
  <si>
    <t>Retained Cash Flow (excl. dividend reinvestment)</t>
  </si>
  <si>
    <t>Debt Component</t>
  </si>
  <si>
    <t>Equity Component</t>
  </si>
  <si>
    <t>Equity Requirement (SEO)</t>
  </si>
  <si>
    <t>Equity Requirement</t>
  </si>
  <si>
    <t>Dividend Reinvestment Plan Requirement</t>
  </si>
  <si>
    <t>External Equity (SEO) Requirement</t>
  </si>
  <si>
    <t>Total Equity Requirement</t>
  </si>
  <si>
    <t>Dividend Reinvestment Plan Costs</t>
  </si>
  <si>
    <t>External Equity Raising (SEO) Costs</t>
  </si>
  <si>
    <t>Total Equity Raising Costs</t>
  </si>
  <si>
    <t>Year</t>
  </si>
  <si>
    <t>2021-22</t>
  </si>
  <si>
    <t>2022-23</t>
  </si>
  <si>
    <t>2023-24</t>
  </si>
  <si>
    <t>2024-25</t>
  </si>
  <si>
    <t>Equity Raising Costs ($m Real Dec 2021)</t>
  </si>
  <si>
    <t>CPI</t>
  </si>
  <si>
    <t>na</t>
  </si>
  <si>
    <t>Difference</t>
  </si>
  <si>
    <t>RAB and Expenditure ($m Nominal)</t>
  </si>
  <si>
    <t>Expenditure</t>
  </si>
  <si>
    <t>Benchmark Expenditure Funding ($m Nominal)</t>
  </si>
  <si>
    <t>Benchmark Expenditure Funding ($m Real Dec 2021)</t>
  </si>
  <si>
    <t>Debt raising costs</t>
  </si>
  <si>
    <t>Expenditure Funding Requirement</t>
  </si>
  <si>
    <t>DRPC</t>
  </si>
  <si>
    <t>SEO</t>
  </si>
  <si>
    <t>MLPL Equity Raising Costs Calculation</t>
  </si>
  <si>
    <t>Equity raising cost allowance required (determined by Goal Seek)</t>
  </si>
  <si>
    <t>Detailed calculations and assumptions</t>
  </si>
  <si>
    <t>Iterative calculation of Equity Raising cost allowance</t>
  </si>
  <si>
    <t>Total Equity Raising Costs as calculated above</t>
  </si>
  <si>
    <t>Consumer Price Index, actual and forecast</t>
  </si>
  <si>
    <t xml:space="preserve">Index (ABS actual and RBA forecast) </t>
  </si>
  <si>
    <t>Equity raising cost rate assumptions</t>
  </si>
  <si>
    <t>Subsequent Equity Raising Costs of 3.00%</t>
  </si>
  <si>
    <t>Gross Capex ($m nominal)</t>
  </si>
  <si>
    <t>Grant funding ($m nominal)</t>
  </si>
  <si>
    <t>Net Capex ($m nominal assumed mid year December)</t>
  </si>
  <si>
    <t>Opening RAB ($m nominal)</t>
  </si>
  <si>
    <t>Equity raising costs ($m nominal)</t>
  </si>
  <si>
    <t>WACC (nominal)</t>
  </si>
  <si>
    <t>Debt component</t>
  </si>
  <si>
    <t>Expenditure (Early works) net of grant funding ($m nominal)</t>
  </si>
  <si>
    <t>Allowed rate of return %</t>
  </si>
  <si>
    <t>Allowed return on Opening RAB ($m nominal)</t>
  </si>
  <si>
    <t>Allowed return on annual expenditure and equity raising costs ($m nominal)</t>
  </si>
  <si>
    <t>Debt raising costs ($m nominal)</t>
  </si>
  <si>
    <t>Maximum allowed revenue ($m nominal)</t>
  </si>
  <si>
    <t>Closing RAB ($m nominal)</t>
  </si>
  <si>
    <t>Opening RAB as at 1 July 2025</t>
  </si>
  <si>
    <t xml:space="preserve">Total </t>
  </si>
  <si>
    <t>Expenditure Rate</t>
  </si>
  <si>
    <t xml:space="preserve">Difference = </t>
  </si>
  <si>
    <t xml:space="preserve">Please note:  Inputs are contained in yellow shaded cells. </t>
  </si>
  <si>
    <t>Equity raising costs (see cell G61)</t>
  </si>
  <si>
    <t>Capitalised allowed return</t>
  </si>
  <si>
    <t>Total expenditure including capitalised allowed return</t>
  </si>
  <si>
    <r>
      <t xml:space="preserve">Forecasts, RBA Statement on Monetary Policy, </t>
    </r>
    <r>
      <rPr>
        <sz val="10"/>
        <color rgb="FFFF0000"/>
        <rFont val="Arial"/>
        <family val="2"/>
      </rPr>
      <t>November</t>
    </r>
    <r>
      <rPr>
        <sz val="10"/>
        <color theme="1"/>
        <rFont val="Arial"/>
        <family val="2"/>
      </rPr>
      <t xml:space="preserve"> 2023</t>
    </r>
  </si>
  <si>
    <t>&lt;- AER Goal seek for zero difference</t>
  </si>
  <si>
    <t>&lt;- AER updated for Nov 2023 SoMP of 4.5% and 3.5%</t>
  </si>
  <si>
    <t>Debt raising costs rate</t>
  </si>
  <si>
    <t>AER decision</t>
  </si>
  <si>
    <t>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</si>
</sst>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;\-0.0;0.0;@"/>
    <numFmt numFmtId="166" formatCode="0.000000000000"/>
    <numFmt numFmtId="167" formatCode="#,##0.0"/>
    <numFmt numFmtId="168" formatCode="0.000%"/>
    <numFmt numFmtId="169" formatCode="#,##0.0000"/>
    <numFmt numFmtId="170" formatCode="[$$-C09]#,##0.00"/>
    <numFmt numFmtId="171" formatCode="#,##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67">
    <xf numFmtId="0" fontId="0" fillId="0" borderId="0" xfId="0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0" fontId="4" fillId="0" borderId="0" xfId="1" applyNumberFormat="1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right"/>
    </xf>
    <xf numFmtId="0" fontId="2" fillId="4" borderId="10" xfId="0" applyFont="1" applyFill="1" applyBorder="1"/>
    <xf numFmtId="0" fontId="2" fillId="4" borderId="11" xfId="0" applyFont="1" applyFill="1" applyBorder="1" applyAlignment="1">
      <alignment horizontal="right"/>
    </xf>
    <xf numFmtId="164" fontId="2" fillId="4" borderId="11" xfId="0" applyNumberFormat="1" applyFont="1" applyFill="1" applyBorder="1" applyAlignment="1">
      <alignment horizontal="right"/>
    </xf>
    <xf numFmtId="164" fontId="4" fillId="0" borderId="0" xfId="0" applyNumberFormat="1" applyFont="1"/>
    <xf numFmtId="164" fontId="5" fillId="0" borderId="9" xfId="0" applyNumberFormat="1" applyFont="1" applyBorder="1"/>
    <xf numFmtId="0" fontId="4" fillId="0" borderId="0" xfId="0" applyFont="1" applyAlignment="1">
      <alignment horizontal="left" wrapText="1"/>
    </xf>
    <xf numFmtId="10" fontId="4" fillId="0" borderId="0" xfId="1" applyNumberFormat="1" applyFont="1" applyFill="1"/>
    <xf numFmtId="0" fontId="2" fillId="0" borderId="8" xfId="0" applyFont="1" applyBorder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4" fillId="0" borderId="8" xfId="0" applyFont="1" applyBorder="1"/>
    <xf numFmtId="0" fontId="3" fillId="0" borderId="12" xfId="0" applyFont="1" applyBorder="1"/>
    <xf numFmtId="10" fontId="3" fillId="0" borderId="2" xfId="1" applyNumberFormat="1" applyFont="1" applyFill="1" applyBorder="1" applyAlignment="1">
      <alignment horizontal="right" indent="1"/>
    </xf>
    <xf numFmtId="10" fontId="3" fillId="0" borderId="3" xfId="1" applyNumberFormat="1" applyFont="1" applyFill="1" applyBorder="1" applyAlignment="1">
      <alignment horizontal="right" indent="1"/>
    </xf>
    <xf numFmtId="10" fontId="3" fillId="0" borderId="13" xfId="1" applyNumberFormat="1" applyFont="1" applyFill="1" applyBorder="1" applyAlignment="1">
      <alignment horizontal="right" indent="1"/>
    </xf>
    <xf numFmtId="10" fontId="3" fillId="0" borderId="0" xfId="1" applyNumberFormat="1" applyFont="1" applyFill="1" applyBorder="1"/>
    <xf numFmtId="10" fontId="2" fillId="0" borderId="9" xfId="1" applyNumberFormat="1" applyFont="1" applyFill="1" applyBorder="1"/>
    <xf numFmtId="0" fontId="2" fillId="0" borderId="14" xfId="0" applyFont="1" applyBorder="1"/>
    <xf numFmtId="0" fontId="2" fillId="0" borderId="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8" xfId="0" applyFont="1" applyBorder="1"/>
    <xf numFmtId="164" fontId="4" fillId="0" borderId="3" xfId="0" applyNumberFormat="1" applyFont="1" applyBorder="1"/>
    <xf numFmtId="164" fontId="5" fillId="0" borderId="13" xfId="0" applyNumberFormat="1" applyFont="1" applyBorder="1"/>
    <xf numFmtId="164" fontId="3" fillId="0" borderId="0" xfId="1" applyNumberFormat="1" applyFont="1" applyFill="1" applyBorder="1"/>
    <xf numFmtId="164" fontId="2" fillId="0" borderId="0" xfId="0" applyNumberFormat="1" applyFont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5" fillId="0" borderId="16" xfId="0" applyNumberFormat="1" applyFont="1" applyBorder="1"/>
    <xf numFmtId="164" fontId="4" fillId="0" borderId="2" xfId="0" applyNumberFormat="1" applyFont="1" applyBorder="1"/>
    <xf numFmtId="164" fontId="5" fillId="0" borderId="17" xfId="0" applyNumberFormat="1" applyFont="1" applyBorder="1"/>
    <xf numFmtId="164" fontId="2" fillId="0" borderId="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5" fillId="0" borderId="18" xfId="0" applyNumberFormat="1" applyFont="1" applyBorder="1"/>
    <xf numFmtId="164" fontId="5" fillId="0" borderId="19" xfId="0" applyNumberFormat="1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0" fontId="3" fillId="0" borderId="0" xfId="1" applyNumberFormat="1" applyFont="1" applyFill="1" applyBorder="1" applyAlignment="1">
      <alignment horizontal="left" wrapText="1"/>
    </xf>
    <xf numFmtId="0" fontId="4" fillId="0" borderId="8" xfId="0" applyFont="1" applyBorder="1" applyAlignment="1">
      <alignment horizontal="left" indent="2"/>
    </xf>
    <xf numFmtId="0" fontId="5" fillId="0" borderId="8" xfId="0" applyFont="1" applyBorder="1"/>
    <xf numFmtId="164" fontId="5" fillId="0" borderId="0" xfId="0" applyNumberFormat="1" applyFont="1"/>
    <xf numFmtId="0" fontId="4" fillId="7" borderId="1" xfId="0" applyFont="1" applyFill="1" applyBorder="1"/>
    <xf numFmtId="0" fontId="9" fillId="0" borderId="0" xfId="0" applyFont="1"/>
    <xf numFmtId="0" fontId="9" fillId="0" borderId="0" xfId="0" applyFont="1" applyAlignment="1">
      <alignment wrapText="1"/>
    </xf>
    <xf numFmtId="0" fontId="10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2" borderId="0" xfId="0" applyFont="1" applyFill="1"/>
    <xf numFmtId="0" fontId="9" fillId="0" borderId="8" xfId="0" applyFont="1" applyBorder="1"/>
    <xf numFmtId="0" fontId="9" fillId="0" borderId="9" xfId="0" applyFont="1" applyBorder="1"/>
    <xf numFmtId="10" fontId="9" fillId="2" borderId="0" xfId="0" applyNumberFormat="1" applyFont="1" applyFill="1"/>
    <xf numFmtId="0" fontId="9" fillId="5" borderId="0" xfId="0" applyFont="1" applyFill="1"/>
    <xf numFmtId="0" fontId="3" fillId="0" borderId="8" xfId="2" applyBorder="1"/>
    <xf numFmtId="0" fontId="9" fillId="7" borderId="1" xfId="0" applyFont="1" applyFill="1" applyBorder="1"/>
    <xf numFmtId="17" fontId="9" fillId="0" borderId="0" xfId="0" applyNumberFormat="1" applyFont="1"/>
    <xf numFmtId="0" fontId="7" fillId="7" borderId="1" xfId="0" applyFont="1" applyFill="1" applyBorder="1"/>
    <xf numFmtId="0" fontId="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8" fillId="0" borderId="8" xfId="0" applyFont="1" applyBorder="1"/>
    <xf numFmtId="0" fontId="4" fillId="0" borderId="9" xfId="0" applyFont="1" applyBorder="1"/>
    <xf numFmtId="0" fontId="5" fillId="7" borderId="10" xfId="0" applyFont="1" applyFill="1" applyBorder="1"/>
    <xf numFmtId="0" fontId="5" fillId="7" borderId="11" xfId="0" applyFont="1" applyFill="1" applyBorder="1"/>
    <xf numFmtId="0" fontId="4" fillId="0" borderId="0" xfId="0" applyFont="1" applyAlignment="1">
      <alignment horizontal="right" vertical="center"/>
    </xf>
    <xf numFmtId="166" fontId="4" fillId="0" borderId="9" xfId="0" applyNumberFormat="1" applyFont="1" applyBorder="1"/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/>
    <xf numFmtId="0" fontId="4" fillId="7" borderId="11" xfId="0" applyFont="1" applyFill="1" applyBorder="1"/>
    <xf numFmtId="17" fontId="4" fillId="0" borderId="8" xfId="0" applyNumberFormat="1" applyFont="1" applyBorder="1" applyAlignment="1">
      <alignment horizontal="right"/>
    </xf>
    <xf numFmtId="17" fontId="4" fillId="0" borderId="0" xfId="0" applyNumberFormat="1" applyFont="1"/>
    <xf numFmtId="165" fontId="4" fillId="0" borderId="8" xfId="0" applyNumberFormat="1" applyFont="1" applyBorder="1" applyAlignment="1">
      <alignment horizontal="right"/>
    </xf>
    <xf numFmtId="165" fontId="4" fillId="6" borderId="0" xfId="0" applyNumberFormat="1" applyFont="1" applyFill="1"/>
    <xf numFmtId="10" fontId="4" fillId="6" borderId="0" xfId="1" applyNumberFormat="1" applyFont="1" applyFill="1" applyBorder="1"/>
    <xf numFmtId="0" fontId="7" fillId="7" borderId="11" xfId="0" applyFont="1" applyFill="1" applyBorder="1"/>
    <xf numFmtId="0" fontId="4" fillId="0" borderId="8" xfId="0" applyFont="1" applyBorder="1" applyAlignment="1">
      <alignment horizontal="left" wrapText="1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164" fontId="4" fillId="0" borderId="9" xfId="0" applyNumberFormat="1" applyFont="1" applyBorder="1"/>
    <xf numFmtId="0" fontId="10" fillId="0" borderId="0" xfId="0" applyFont="1"/>
    <xf numFmtId="0" fontId="7" fillId="0" borderId="0" xfId="0" applyFont="1" applyAlignment="1">
      <alignment horizontal="right" vertical="center"/>
    </xf>
    <xf numFmtId="0" fontId="7" fillId="8" borderId="48" xfId="0" applyFont="1" applyFill="1" applyBorder="1" applyAlignment="1">
      <alignment horizontal="right" vertical="center"/>
    </xf>
    <xf numFmtId="0" fontId="7" fillId="8" borderId="49" xfId="0" applyFont="1" applyFill="1" applyBorder="1" applyAlignment="1">
      <alignment horizontal="right" vertical="center"/>
    </xf>
    <xf numFmtId="17" fontId="7" fillId="8" borderId="50" xfId="0" applyNumberFormat="1" applyFont="1" applyFill="1" applyBorder="1" applyAlignment="1">
      <alignment horizontal="right" vertical="center"/>
    </xf>
    <xf numFmtId="0" fontId="7" fillId="8" borderId="23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44" xfId="0" applyFont="1" applyBorder="1" applyAlignment="1">
      <alignment horizontal="right" vertical="center"/>
    </xf>
    <xf numFmtId="167" fontId="9" fillId="6" borderId="32" xfId="0" applyNumberFormat="1" applyFont="1" applyFill="1" applyBorder="1" applyAlignment="1">
      <alignment horizontal="right" vertical="center"/>
    </xf>
    <xf numFmtId="167" fontId="9" fillId="6" borderId="25" xfId="0" applyNumberFormat="1" applyFont="1" applyFill="1" applyBorder="1" applyAlignment="1">
      <alignment horizontal="right" vertical="center"/>
    </xf>
    <xf numFmtId="167" fontId="9" fillId="6" borderId="33" xfId="0" applyNumberFormat="1" applyFont="1" applyFill="1" applyBorder="1" applyAlignment="1">
      <alignment horizontal="right" vertical="center"/>
    </xf>
    <xf numFmtId="167" fontId="7" fillId="0" borderId="43" xfId="0" applyNumberFormat="1" applyFont="1" applyBorder="1" applyAlignment="1">
      <alignment vertical="center"/>
    </xf>
    <xf numFmtId="0" fontId="9" fillId="0" borderId="43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167" fontId="9" fillId="0" borderId="40" xfId="0" applyNumberFormat="1" applyFont="1" applyBorder="1" applyAlignment="1">
      <alignment vertical="center"/>
    </xf>
    <xf numFmtId="167" fontId="9" fillId="0" borderId="41" xfId="0" applyNumberFormat="1" applyFont="1" applyBorder="1" applyAlignment="1">
      <alignment vertical="center"/>
    </xf>
    <xf numFmtId="167" fontId="9" fillId="0" borderId="42" xfId="0" applyNumberFormat="1" applyFont="1" applyBorder="1" applyAlignment="1">
      <alignment vertical="center"/>
    </xf>
    <xf numFmtId="167" fontId="7" fillId="0" borderId="45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167" fontId="9" fillId="6" borderId="36" xfId="0" applyNumberFormat="1" applyFont="1" applyFill="1" applyBorder="1" applyAlignment="1">
      <alignment vertical="center"/>
    </xf>
    <xf numFmtId="167" fontId="9" fillId="0" borderId="27" xfId="0" applyNumberFormat="1" applyFont="1" applyBorder="1" applyAlignment="1">
      <alignment vertical="center"/>
    </xf>
    <xf numFmtId="167" fontId="9" fillId="0" borderId="37" xfId="0" applyNumberFormat="1" applyFont="1" applyBorder="1" applyAlignment="1">
      <alignment vertical="center"/>
    </xf>
    <xf numFmtId="167" fontId="9" fillId="0" borderId="0" xfId="0" applyNumberFormat="1" applyFont="1" applyAlignment="1">
      <alignment vertical="center"/>
    </xf>
    <xf numFmtId="0" fontId="9" fillId="0" borderId="46" xfId="0" applyFont="1" applyBorder="1" applyAlignment="1">
      <alignment horizontal="right" vertical="center"/>
    </xf>
    <xf numFmtId="167" fontId="9" fillId="0" borderId="34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167" fontId="9" fillId="0" borderId="35" xfId="0" applyNumberFormat="1" applyFont="1" applyBorder="1" applyAlignment="1">
      <alignment vertical="center"/>
    </xf>
    <xf numFmtId="0" fontId="9" fillId="0" borderId="4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9" fontId="9" fillId="6" borderId="36" xfId="0" applyNumberFormat="1" applyFont="1" applyFill="1" applyBorder="1" applyAlignment="1">
      <alignment vertical="center"/>
    </xf>
    <xf numFmtId="9" fontId="9" fillId="6" borderId="27" xfId="0" applyNumberFormat="1" applyFont="1" applyFill="1" applyBorder="1" applyAlignment="1">
      <alignment vertical="center"/>
    </xf>
    <xf numFmtId="9" fontId="9" fillId="6" borderId="3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7" fontId="7" fillId="8" borderId="5" xfId="0" applyNumberFormat="1" applyFont="1" applyFill="1" applyBorder="1" applyAlignment="1">
      <alignment horizontal="right" vertical="center"/>
    </xf>
    <xf numFmtId="17" fontId="7" fillId="8" borderId="51" xfId="0" applyNumberFormat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167" fontId="9" fillId="0" borderId="29" xfId="0" applyNumberFormat="1" applyFont="1" applyBorder="1" applyAlignment="1">
      <alignment vertical="center"/>
    </xf>
    <xf numFmtId="167" fontId="9" fillId="0" borderId="30" xfId="0" applyNumberFormat="1" applyFont="1" applyBorder="1" applyAlignment="1">
      <alignment vertical="center"/>
    </xf>
    <xf numFmtId="167" fontId="9" fillId="0" borderId="31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167" fontId="9" fillId="0" borderId="38" xfId="0" applyNumberFormat="1" applyFont="1" applyBorder="1" applyAlignment="1">
      <alignment vertical="center"/>
    </xf>
    <xf numFmtId="167" fontId="9" fillId="0" borderId="24" xfId="0" applyNumberFormat="1" applyFont="1" applyBorder="1" applyAlignment="1">
      <alignment vertical="center"/>
    </xf>
    <xf numFmtId="167" fontId="9" fillId="0" borderId="39" xfId="0" applyNumberFormat="1" applyFont="1" applyBorder="1" applyAlignment="1">
      <alignment vertical="center"/>
    </xf>
    <xf numFmtId="10" fontId="9" fillId="0" borderId="38" xfId="1" applyNumberFormat="1" applyFont="1" applyFill="1" applyBorder="1" applyAlignment="1">
      <alignment vertical="center"/>
    </xf>
    <xf numFmtId="10" fontId="9" fillId="0" borderId="24" xfId="1" applyNumberFormat="1" applyFont="1" applyFill="1" applyBorder="1" applyAlignment="1">
      <alignment vertical="center"/>
    </xf>
    <xf numFmtId="10" fontId="9" fillId="0" borderId="39" xfId="1" applyNumberFormat="1" applyFont="1" applyFill="1" applyBorder="1" applyAlignment="1">
      <alignment vertical="center"/>
    </xf>
    <xf numFmtId="169" fontId="9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right" vertical="center"/>
    </xf>
    <xf numFmtId="167" fontId="7" fillId="0" borderId="38" xfId="0" applyNumberFormat="1" applyFont="1" applyBorder="1" applyAlignment="1">
      <alignment vertical="center"/>
    </xf>
    <xf numFmtId="167" fontId="7" fillId="0" borderId="24" xfId="0" applyNumberFormat="1" applyFont="1" applyBorder="1" applyAlignment="1">
      <alignment vertical="center"/>
    </xf>
    <xf numFmtId="167" fontId="7" fillId="0" borderId="39" xfId="0" applyNumberFormat="1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167" fontId="7" fillId="0" borderId="20" xfId="0" applyNumberFormat="1" applyFont="1" applyBorder="1" applyAlignment="1">
      <alignment vertical="center"/>
    </xf>
    <xf numFmtId="167" fontId="7" fillId="0" borderId="52" xfId="0" applyNumberFormat="1" applyFont="1" applyBorder="1" applyAlignment="1">
      <alignment vertical="center"/>
    </xf>
    <xf numFmtId="167" fontId="7" fillId="0" borderId="53" xfId="0" applyNumberFormat="1" applyFont="1" applyBorder="1" applyAlignment="1">
      <alignment vertical="center"/>
    </xf>
    <xf numFmtId="170" fontId="4" fillId="0" borderId="9" xfId="0" applyNumberFormat="1" applyFont="1" applyBorder="1"/>
    <xf numFmtId="0" fontId="7" fillId="0" borderId="0" xfId="0" applyFont="1"/>
    <xf numFmtId="164" fontId="4" fillId="6" borderId="0" xfId="0" applyNumberFormat="1" applyFont="1" applyFill="1"/>
    <xf numFmtId="164" fontId="4" fillId="6" borderId="0" xfId="0" applyNumberFormat="1" applyFont="1" applyFill="1" applyAlignment="1">
      <alignment horizontal="center"/>
    </xf>
    <xf numFmtId="164" fontId="5" fillId="0" borderId="9" xfId="0" applyNumberFormat="1" applyFont="1" applyFill="1" applyBorder="1"/>
    <xf numFmtId="164" fontId="5" fillId="0" borderId="16" xfId="0" applyNumberFormat="1" applyFont="1" applyFill="1" applyBorder="1"/>
    <xf numFmtId="164" fontId="4" fillId="0" borderId="3" xfId="0" applyNumberFormat="1" applyFont="1" applyFill="1" applyBorder="1"/>
    <xf numFmtId="0" fontId="11" fillId="0" borderId="0" xfId="0" applyFont="1"/>
    <xf numFmtId="10" fontId="4" fillId="9" borderId="0" xfId="1" applyNumberFormat="1" applyFont="1" applyFill="1" applyBorder="1"/>
    <xf numFmtId="0" fontId="9" fillId="9" borderId="0" xfId="0" applyFont="1" applyFill="1"/>
    <xf numFmtId="171" fontId="9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166" fontId="4" fillId="9" borderId="9" xfId="0" applyNumberFormat="1" applyFont="1" applyFill="1" applyBorder="1"/>
    <xf numFmtId="0" fontId="11" fillId="0" borderId="0" xfId="0" applyFont="1" applyAlignment="1">
      <alignment wrapText="1"/>
    </xf>
    <xf numFmtId="10" fontId="9" fillId="9" borderId="38" xfId="1" applyNumberFormat="1" applyFont="1" applyFill="1" applyBorder="1" applyAlignment="1">
      <alignment vertical="center"/>
    </xf>
    <xf numFmtId="10" fontId="9" fillId="9" borderId="24" xfId="1" applyNumberFormat="1" applyFont="1" applyFill="1" applyBorder="1" applyAlignment="1">
      <alignment vertical="center"/>
    </xf>
    <xf numFmtId="10" fontId="9" fillId="9" borderId="39" xfId="1" applyNumberFormat="1" applyFont="1" applyFill="1" applyBorder="1" applyAlignment="1">
      <alignment vertical="center"/>
    </xf>
    <xf numFmtId="168" fontId="9" fillId="9" borderId="40" xfId="1" applyNumberFormat="1" applyFont="1" applyFill="1" applyBorder="1" applyAlignment="1">
      <alignment vertical="center"/>
    </xf>
    <xf numFmtId="168" fontId="9" fillId="9" borderId="41" xfId="1" applyNumberFormat="1" applyFont="1" applyFill="1" applyBorder="1" applyAlignment="1">
      <alignment vertical="center"/>
    </xf>
    <xf numFmtId="168" fontId="9" fillId="9" borderId="42" xfId="1" applyNumberFormat="1" applyFont="1" applyFill="1" applyBorder="1" applyAlignment="1">
      <alignment vertical="center"/>
    </xf>
    <xf numFmtId="0" fontId="9" fillId="6" borderId="0" xfId="0" applyFont="1" applyFill="1"/>
  </cellXfs>
  <cellStyles count="3">
    <cellStyle name="Normal" xfId="0" builtinId="0"/>
    <cellStyle name="Normal 2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nus\Equity%20raising%20costs%20using%20modified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>
        <row r="494">
          <cell r="G494">
            <v>0.9</v>
          </cell>
        </row>
        <row r="495">
          <cell r="G495">
            <v>0.03</v>
          </cell>
        </row>
        <row r="496">
          <cell r="G496">
            <v>0.01</v>
          </cell>
        </row>
        <row r="497">
          <cell r="G497">
            <v>0.3</v>
          </cell>
        </row>
      </sheetData>
      <sheetData sheetId="7">
        <row r="18">
          <cell r="G18">
            <v>5.1116334238379163E-2</v>
          </cell>
          <cell r="H18">
            <v>4.987482383589386E-2</v>
          </cell>
          <cell r="I18">
            <v>5.0039850813105344E-2</v>
          </cell>
          <cell r="J18">
            <v>5.0039850813105344E-2</v>
          </cell>
          <cell r="K18">
            <v>5.0039850813105344E-2</v>
          </cell>
          <cell r="L18">
            <v>5.0039850813105344E-2</v>
          </cell>
          <cell r="M18">
            <v>5.0039850813105344E-2</v>
          </cell>
          <cell r="N18">
            <v>5.0039850813105344E-2</v>
          </cell>
          <cell r="O18">
            <v>5.0039850813105344E-2</v>
          </cell>
          <cell r="P18">
            <v>5.0039850813105344E-2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3"/>
  <sheetViews>
    <sheetView tabSelected="1" zoomScale="85" zoomScaleNormal="85" workbookViewId="0">
      <selection activeCell="I11" sqref="I11"/>
    </sheetView>
  </sheetViews>
  <sheetFormatPr defaultColWidth="8.7109375" defaultRowHeight="14.25" x14ac:dyDescent="0.2"/>
  <cols>
    <col min="1" max="1" width="1.7109375" style="52" customWidth="1"/>
    <col min="2" max="2" width="71.140625" style="52" customWidth="1"/>
    <col min="3" max="3" width="13" style="52" customWidth="1"/>
    <col min="4" max="7" width="12.7109375" style="52" customWidth="1"/>
    <col min="8" max="9" width="8.5703125" style="52" customWidth="1"/>
    <col min="10" max="10" width="12.140625" style="4" customWidth="1"/>
    <col min="11" max="16384" width="8.7109375" style="52"/>
  </cols>
  <sheetData>
    <row r="1" spans="2:12" ht="26.25" x14ac:dyDescent="0.4">
      <c r="B1" s="89" t="s">
        <v>63</v>
      </c>
      <c r="C1" s="166" t="s">
        <v>76</v>
      </c>
      <c r="D1" s="155" t="s">
        <v>75</v>
      </c>
      <c r="J1" s="52"/>
      <c r="L1" s="4"/>
    </row>
    <row r="2" spans="2:12" ht="15.75" thickBot="1" x14ac:dyDescent="0.3">
      <c r="B2" s="147" t="s">
        <v>67</v>
      </c>
      <c r="J2" s="52"/>
      <c r="L2" s="4"/>
    </row>
    <row r="3" spans="2:12" s="95" customFormat="1" ht="18.95" customHeight="1" thickBot="1" x14ac:dyDescent="0.3">
      <c r="B3" s="90"/>
      <c r="C3" s="91" t="s">
        <v>24</v>
      </c>
      <c r="D3" s="92" t="s">
        <v>25</v>
      </c>
      <c r="E3" s="92" t="s">
        <v>26</v>
      </c>
      <c r="F3" s="93" t="s">
        <v>27</v>
      </c>
      <c r="G3" s="94" t="s">
        <v>64</v>
      </c>
      <c r="L3" s="96"/>
    </row>
    <row r="4" spans="2:12" s="95" customFormat="1" ht="18.95" customHeight="1" x14ac:dyDescent="0.25">
      <c r="B4" s="97" t="s">
        <v>49</v>
      </c>
      <c r="C4" s="98">
        <v>40.148643055070004</v>
      </c>
      <c r="D4" s="99">
        <v>54.226565468253327</v>
      </c>
      <c r="E4" s="99">
        <v>73.25712623036587</v>
      </c>
      <c r="F4" s="100">
        <v>28.86196642828212</v>
      </c>
      <c r="G4" s="101">
        <f t="shared" ref="G4:G5" si="0">SUM(C4:F4)</f>
        <v>196.49430118197131</v>
      </c>
      <c r="L4" s="96"/>
    </row>
    <row r="5" spans="2:12" s="95" customFormat="1" ht="18.95" customHeight="1" x14ac:dyDescent="0.25">
      <c r="B5" s="102" t="s">
        <v>50</v>
      </c>
      <c r="C5" s="98">
        <v>-9.4042514199999996</v>
      </c>
      <c r="D5" s="99">
        <v>-27.167000000000002</v>
      </c>
      <c r="E5" s="99">
        <v>-19.405000000000001</v>
      </c>
      <c r="F5" s="100">
        <v>-11.643000000000001</v>
      </c>
      <c r="G5" s="101">
        <f t="shared" si="0"/>
        <v>-67.619251420000012</v>
      </c>
      <c r="L5" s="96"/>
    </row>
    <row r="6" spans="2:12" s="95" customFormat="1" ht="18.95" customHeight="1" thickBot="1" x14ac:dyDescent="0.3">
      <c r="B6" s="103" t="s">
        <v>51</v>
      </c>
      <c r="C6" s="104">
        <f>C4+C5</f>
        <v>30.744391635070002</v>
      </c>
      <c r="D6" s="105">
        <f t="shared" ref="D6:F6" si="1">D4+D5</f>
        <v>27.059565468253325</v>
      </c>
      <c r="E6" s="105">
        <f t="shared" si="1"/>
        <v>53.852126230365869</v>
      </c>
      <c r="F6" s="106">
        <f t="shared" si="1"/>
        <v>17.218966428282119</v>
      </c>
      <c r="G6" s="107">
        <f>SUM(C6:F6)</f>
        <v>128.87504976197133</v>
      </c>
      <c r="H6" s="108"/>
      <c r="L6" s="96"/>
    </row>
    <row r="7" spans="2:12" s="95" customFormat="1" ht="18.95" customHeight="1" x14ac:dyDescent="0.25">
      <c r="B7" s="102" t="s">
        <v>52</v>
      </c>
      <c r="C7" s="109">
        <v>4.9988444800000007</v>
      </c>
      <c r="D7" s="110"/>
      <c r="E7" s="110"/>
      <c r="F7" s="111"/>
      <c r="G7" s="112"/>
      <c r="H7" s="108"/>
      <c r="L7" s="96"/>
    </row>
    <row r="8" spans="2:12" s="95" customFormat="1" ht="18.95" customHeight="1" x14ac:dyDescent="0.25">
      <c r="B8" s="113" t="s">
        <v>53</v>
      </c>
      <c r="C8" s="114">
        <f>+'Equity raising costs'!C9</f>
        <v>1.5596805425952163</v>
      </c>
      <c r="D8" s="115"/>
      <c r="E8" s="115"/>
      <c r="F8" s="116"/>
      <c r="G8" s="112"/>
      <c r="H8" s="108"/>
      <c r="L8" s="96"/>
    </row>
    <row r="9" spans="2:12" s="95" customFormat="1" ht="18.95" customHeight="1" x14ac:dyDescent="0.25">
      <c r="B9" s="117" t="s">
        <v>54</v>
      </c>
      <c r="C9" s="160">
        <v>3.2928406449951805E-2</v>
      </c>
      <c r="D9" s="161">
        <v>3.3858772158287365E-2</v>
      </c>
      <c r="E9" s="161">
        <v>3.6448994199134846E-2</v>
      </c>
      <c r="F9" s="162">
        <v>3.899940595162496E-2</v>
      </c>
      <c r="G9" s="118"/>
      <c r="J9" s="119"/>
      <c r="L9" s="96"/>
    </row>
    <row r="10" spans="2:12" s="95" customFormat="1" ht="18.95" customHeight="1" x14ac:dyDescent="0.25">
      <c r="B10" s="102" t="s">
        <v>55</v>
      </c>
      <c r="C10" s="120">
        <v>0.6</v>
      </c>
      <c r="D10" s="121">
        <v>0.6</v>
      </c>
      <c r="E10" s="121">
        <v>0.6</v>
      </c>
      <c r="F10" s="122">
        <v>0.6</v>
      </c>
      <c r="J10" s="96"/>
    </row>
    <row r="11" spans="2:12" s="95" customFormat="1" ht="18.95" customHeight="1" thickBot="1" x14ac:dyDescent="0.3">
      <c r="B11" s="103" t="s">
        <v>74</v>
      </c>
      <c r="C11" s="163">
        <v>8.8802683870124234E-4</v>
      </c>
      <c r="D11" s="164">
        <v>8.8802683870124234E-4</v>
      </c>
      <c r="E11" s="164">
        <v>8.8802683870124234E-4</v>
      </c>
      <c r="F11" s="165">
        <v>8.8802683870124234E-4</v>
      </c>
      <c r="J11" s="96"/>
    </row>
    <row r="12" spans="2:12" s="95" customFormat="1" ht="18.95" customHeight="1" x14ac:dyDescent="0.25">
      <c r="J12" s="96"/>
    </row>
    <row r="13" spans="2:12" s="95" customFormat="1" ht="18.95" customHeight="1" thickBot="1" x14ac:dyDescent="0.3">
      <c r="J13" s="96"/>
    </row>
    <row r="14" spans="2:12" s="95" customFormat="1" ht="18.95" customHeight="1" thickBot="1" x14ac:dyDescent="0.3">
      <c r="B14" s="123"/>
      <c r="C14" s="124" t="s">
        <v>24</v>
      </c>
      <c r="D14" s="125" t="s">
        <v>25</v>
      </c>
      <c r="E14" s="125" t="s">
        <v>26</v>
      </c>
      <c r="F14" s="93" t="s">
        <v>27</v>
      </c>
      <c r="J14" s="96"/>
    </row>
    <row r="15" spans="2:12" s="95" customFormat="1" ht="18.95" customHeight="1" x14ac:dyDescent="0.25">
      <c r="B15" s="126" t="s">
        <v>52</v>
      </c>
      <c r="C15" s="127">
        <f>C7</f>
        <v>4.9988444800000007</v>
      </c>
      <c r="D15" s="128">
        <f>C23</f>
        <v>37.997737218001241</v>
      </c>
      <c r="E15" s="128">
        <f>D23</f>
        <v>66.818393648933963</v>
      </c>
      <c r="F15" s="129">
        <f>E23</f>
        <v>124.11422930243421</v>
      </c>
      <c r="J15" s="96"/>
    </row>
    <row r="16" spans="2:12" s="95" customFormat="1" ht="18.95" customHeight="1" x14ac:dyDescent="0.25">
      <c r="B16" s="130" t="s">
        <v>56</v>
      </c>
      <c r="C16" s="131">
        <f>C6</f>
        <v>30.744391635070002</v>
      </c>
      <c r="D16" s="132">
        <f>D6</f>
        <v>27.059565468253325</v>
      </c>
      <c r="E16" s="132">
        <f>E6</f>
        <v>53.852126230365869</v>
      </c>
      <c r="F16" s="133">
        <f>F6</f>
        <v>17.218966428282119</v>
      </c>
      <c r="J16" s="96"/>
    </row>
    <row r="17" spans="2:10" s="95" customFormat="1" ht="18.95" customHeight="1" x14ac:dyDescent="0.25">
      <c r="B17" s="130" t="s">
        <v>53</v>
      </c>
      <c r="C17" s="131">
        <f>C8</f>
        <v>1.5596805425952163</v>
      </c>
      <c r="D17" s="132"/>
      <c r="E17" s="132"/>
      <c r="F17" s="133"/>
      <c r="J17" s="96"/>
    </row>
    <row r="18" spans="2:10" s="95" customFormat="1" ht="18.95" customHeight="1" x14ac:dyDescent="0.25">
      <c r="B18" s="130" t="s">
        <v>57</v>
      </c>
      <c r="C18" s="134">
        <f>C9</f>
        <v>3.2928406449951805E-2</v>
      </c>
      <c r="D18" s="135">
        <f>D9</f>
        <v>3.3858772158287365E-2</v>
      </c>
      <c r="E18" s="135">
        <f>E9</f>
        <v>3.6448994199134846E-2</v>
      </c>
      <c r="F18" s="136">
        <f>F9</f>
        <v>3.899940595162496E-2</v>
      </c>
      <c r="J18" s="96"/>
    </row>
    <row r="19" spans="2:10" s="95" customFormat="1" ht="18.95" customHeight="1" x14ac:dyDescent="0.25">
      <c r="B19" s="130" t="s">
        <v>58</v>
      </c>
      <c r="C19" s="131">
        <f>C15*C18</f>
        <v>0.16460398281753799</v>
      </c>
      <c r="D19" s="132">
        <f>D15*D18</f>
        <v>1.28655672699478</v>
      </c>
      <c r="E19" s="132">
        <f>E15*E18</f>
        <v>2.4354632425055027</v>
      </c>
      <c r="F19" s="133">
        <f>F15*F18</f>
        <v>4.8403812129386976</v>
      </c>
      <c r="J19" s="96"/>
    </row>
    <row r="20" spans="2:10" s="95" customFormat="1" ht="18.95" customHeight="1" x14ac:dyDescent="0.25">
      <c r="B20" s="130" t="s">
        <v>59</v>
      </c>
      <c r="C20" s="131">
        <f>(C16+C17)*((1+C18)^0.5-1)</f>
        <v>0.52755311268204097</v>
      </c>
      <c r="D20" s="132">
        <f>(D16+D17)*((1+D18)^0.5-1)</f>
        <v>0.45428842940891867</v>
      </c>
      <c r="E20" s="132">
        <f>(E16+E17)*((1+E18)^0.5-1)</f>
        <v>0.97264426450138608</v>
      </c>
      <c r="F20" s="133">
        <f>(F16+F17)*((1+F18)^0.75-1)</f>
        <v>0.50123089759746142</v>
      </c>
      <c r="J20" s="96"/>
    </row>
    <row r="21" spans="2:10" s="95" customFormat="1" ht="18.95" customHeight="1" x14ac:dyDescent="0.25">
      <c r="B21" s="130" t="s">
        <v>60</v>
      </c>
      <c r="C21" s="131">
        <f>C15*C10*C11</f>
        <v>2.6634648364401337E-3</v>
      </c>
      <c r="D21" s="132">
        <f>D15*D10*D11</f>
        <v>2.0245806275701307E-2</v>
      </c>
      <c r="E21" s="132">
        <f>E15*E10*E11</f>
        <v>3.5601916127494797E-2</v>
      </c>
      <c r="F21" s="133">
        <f>F15*F10*F11</f>
        <v>6.6130060011169042E-2</v>
      </c>
      <c r="G21" s="137"/>
      <c r="J21" s="96"/>
    </row>
    <row r="22" spans="2:10" s="95" customFormat="1" ht="18.95" customHeight="1" x14ac:dyDescent="0.25">
      <c r="B22" s="138" t="s">
        <v>61</v>
      </c>
      <c r="C22" s="139">
        <f>C19+C20+C21</f>
        <v>0.69482056033601902</v>
      </c>
      <c r="D22" s="140">
        <f t="shared" ref="D22:F22" si="2">D19+D20+D21</f>
        <v>1.7610909626794</v>
      </c>
      <c r="E22" s="140">
        <f t="shared" si="2"/>
        <v>3.4437094231343837</v>
      </c>
      <c r="F22" s="141">
        <f t="shared" si="2"/>
        <v>5.4077421705473281</v>
      </c>
      <c r="J22" s="96"/>
    </row>
    <row r="23" spans="2:10" s="95" customFormat="1" ht="18.95" customHeight="1" thickBot="1" x14ac:dyDescent="0.3">
      <c r="B23" s="142" t="s">
        <v>62</v>
      </c>
      <c r="C23" s="143">
        <f>C15+C16+C17+C22</f>
        <v>37.997737218001241</v>
      </c>
      <c r="D23" s="144">
        <f>D15+D16+D17+D22</f>
        <v>66.818393648933963</v>
      </c>
      <c r="E23" s="144">
        <f>E15+E16+E17+E22</f>
        <v>124.11422930243421</v>
      </c>
      <c r="F23" s="145">
        <f>F15+F16+F17+F22</f>
        <v>146.74093790126366</v>
      </c>
      <c r="G23" s="156"/>
      <c r="J23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5"/>
  <sheetViews>
    <sheetView topLeftCell="A32" zoomScale="85" zoomScaleNormal="85" workbookViewId="0">
      <selection activeCell="H64" sqref="H64"/>
    </sheetView>
  </sheetViews>
  <sheetFormatPr defaultColWidth="8.85546875" defaultRowHeight="14.25" x14ac:dyDescent="0.2"/>
  <cols>
    <col min="1" max="1" width="3" style="52" customWidth="1"/>
    <col min="2" max="2" width="53" style="52" customWidth="1"/>
    <col min="3" max="6" width="11.42578125" style="52" customWidth="1"/>
    <col min="7" max="7" width="16.5703125" style="52" customWidth="1"/>
    <col min="8" max="8" width="90.7109375" style="53" customWidth="1"/>
    <col min="9" max="10" width="8.85546875" style="52" bestFit="1" customWidth="1"/>
    <col min="11" max="11" width="14.42578125" style="52" bestFit="1" customWidth="1"/>
    <col min="12" max="13" width="8.85546875" style="52" bestFit="1" customWidth="1"/>
    <col min="14" max="14" width="16.28515625" style="52" bestFit="1" customWidth="1"/>
    <col min="15" max="17" width="8.85546875" style="52" bestFit="1" customWidth="1"/>
    <col min="18" max="19" width="8.85546875" style="52"/>
    <col min="20" max="20" width="15" style="52" bestFit="1" customWidth="1"/>
    <col min="21" max="16384" width="8.85546875" style="52"/>
  </cols>
  <sheetData>
    <row r="1" spans="1:26" ht="15" thickBot="1" x14ac:dyDescent="0.25"/>
    <row r="2" spans="1:26" ht="26.25" x14ac:dyDescent="0.4">
      <c r="B2" s="54" t="s">
        <v>40</v>
      </c>
      <c r="C2" s="55"/>
      <c r="D2" s="55"/>
      <c r="E2" s="55"/>
      <c r="F2" s="55"/>
      <c r="G2" s="56"/>
    </row>
    <row r="3" spans="1:26" x14ac:dyDescent="0.2">
      <c r="A3" s="57"/>
      <c r="B3" s="58" t="s">
        <v>67</v>
      </c>
      <c r="G3" s="59"/>
    </row>
    <row r="4" spans="1:26" x14ac:dyDescent="0.2">
      <c r="A4" s="57"/>
      <c r="B4" s="9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0" t="s">
        <v>0</v>
      </c>
      <c r="H4" s="8"/>
      <c r="I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57"/>
      <c r="B5" s="11" t="s">
        <v>32</v>
      </c>
      <c r="C5" s="2"/>
      <c r="D5" s="2"/>
      <c r="E5" s="2"/>
      <c r="F5" s="2"/>
      <c r="G5" s="12"/>
      <c r="H5" s="8"/>
      <c r="I5" s="4"/>
      <c r="O5" s="4"/>
      <c r="P5" s="4"/>
      <c r="Q5" s="4"/>
      <c r="R5" s="4"/>
      <c r="X5" s="4"/>
      <c r="Y5" s="4"/>
      <c r="Z5" s="4"/>
    </row>
    <row r="6" spans="1:26" x14ac:dyDescent="0.2">
      <c r="A6" s="57"/>
      <c r="B6" s="18"/>
      <c r="C6" s="19"/>
      <c r="D6" s="19"/>
      <c r="E6" s="19"/>
      <c r="F6" s="19"/>
      <c r="G6" s="20"/>
      <c r="H6" s="8"/>
      <c r="I6" s="4"/>
      <c r="O6" s="4"/>
      <c r="P6" s="4"/>
      <c r="Q6" s="4"/>
      <c r="R6" s="4"/>
      <c r="X6" s="4"/>
      <c r="Y6" s="4"/>
      <c r="Z6" s="4"/>
    </row>
    <row r="7" spans="1:26" x14ac:dyDescent="0.2">
      <c r="A7" s="57"/>
      <c r="B7" s="49" t="s">
        <v>1</v>
      </c>
      <c r="C7" s="50">
        <f>+'Opening RAB'!C15</f>
        <v>4.9988444800000007</v>
      </c>
      <c r="D7" s="50">
        <f>+'Opening RAB'!D15</f>
        <v>37.997737218001241</v>
      </c>
      <c r="E7" s="50">
        <f>+'Opening RAB'!E15</f>
        <v>66.818393648933963</v>
      </c>
      <c r="F7" s="50">
        <f>+'Opening RAB'!F15</f>
        <v>124.11422930243421</v>
      </c>
      <c r="G7" s="15">
        <f>SUM(C7:F7)</f>
        <v>233.92920464936941</v>
      </c>
      <c r="H7" s="8"/>
      <c r="I7" s="4"/>
      <c r="O7" s="4"/>
      <c r="P7" s="4"/>
      <c r="Q7" s="4"/>
      <c r="R7" s="4"/>
      <c r="X7" s="4"/>
      <c r="Y7" s="4"/>
      <c r="Z7" s="4"/>
    </row>
    <row r="8" spans="1:26" x14ac:dyDescent="0.2">
      <c r="A8" s="57"/>
      <c r="B8" s="48" t="s">
        <v>33</v>
      </c>
      <c r="C8" s="14">
        <f>+'Opening RAB'!C6</f>
        <v>30.744391635070002</v>
      </c>
      <c r="D8" s="14">
        <f>+'Opening RAB'!D6</f>
        <v>27.059565468253325</v>
      </c>
      <c r="E8" s="14">
        <f>+'Opening RAB'!E6</f>
        <v>53.852126230365869</v>
      </c>
      <c r="F8" s="14">
        <f>+'Opening RAB'!F6</f>
        <v>17.218966428282119</v>
      </c>
      <c r="G8" s="88">
        <f>+SUM(C8:F8)</f>
        <v>128.87504976197133</v>
      </c>
      <c r="H8" s="8"/>
      <c r="I8" s="4"/>
      <c r="O8" s="4"/>
      <c r="P8" s="4"/>
      <c r="Q8" s="4"/>
      <c r="R8" s="4"/>
      <c r="X8" s="4"/>
      <c r="Y8" s="4"/>
      <c r="Z8" s="4"/>
    </row>
    <row r="9" spans="1:26" x14ac:dyDescent="0.2">
      <c r="A9" s="57"/>
      <c r="B9" s="48" t="s">
        <v>68</v>
      </c>
      <c r="C9" s="14">
        <f>+G63</f>
        <v>1.5596805425952163</v>
      </c>
      <c r="D9" s="148">
        <v>0</v>
      </c>
      <c r="E9" s="148">
        <v>0</v>
      </c>
      <c r="F9" s="148">
        <v>0</v>
      </c>
      <c r="G9" s="88">
        <f t="shared" ref="G9:G11" si="0">+SUM(C9:F9)</f>
        <v>1.5596805425952163</v>
      </c>
      <c r="H9" s="8"/>
      <c r="I9" s="4"/>
      <c r="O9" s="4"/>
      <c r="P9" s="4"/>
      <c r="Q9" s="4"/>
      <c r="R9" s="4"/>
      <c r="X9" s="4"/>
      <c r="Y9" s="4"/>
      <c r="Z9" s="4"/>
    </row>
    <row r="10" spans="1:26" x14ac:dyDescent="0.2">
      <c r="A10" s="57"/>
      <c r="B10" s="48" t="s">
        <v>36</v>
      </c>
      <c r="C10" s="14">
        <f>+'Opening RAB'!C21</f>
        <v>2.6634648364401337E-3</v>
      </c>
      <c r="D10" s="14">
        <f>+'Opening RAB'!D21</f>
        <v>2.0245806275701307E-2</v>
      </c>
      <c r="E10" s="14">
        <f>+'Opening RAB'!E21</f>
        <v>3.5601916127494797E-2</v>
      </c>
      <c r="F10" s="14">
        <f>+'Opening RAB'!F21</f>
        <v>6.6130060011169042E-2</v>
      </c>
      <c r="G10" s="88">
        <f t="shared" ref="G10" si="1">+SUM(C10:F10)</f>
        <v>0.12464124725080528</v>
      </c>
      <c r="H10" s="8"/>
      <c r="I10" s="4"/>
      <c r="O10" s="4"/>
      <c r="P10" s="4"/>
      <c r="Q10" s="4"/>
      <c r="R10" s="4"/>
      <c r="X10" s="4"/>
      <c r="Y10" s="4"/>
      <c r="Z10" s="4"/>
    </row>
    <row r="11" spans="1:26" x14ac:dyDescent="0.2">
      <c r="A11" s="57"/>
      <c r="B11" s="48" t="s">
        <v>69</v>
      </c>
      <c r="C11" s="14">
        <f>+'Opening RAB'!C19+'Opening RAB'!C20</f>
        <v>0.69215709549957893</v>
      </c>
      <c r="D11" s="14">
        <f>+'Opening RAB'!D19+'Opening RAB'!D20</f>
        <v>1.7408451564036986</v>
      </c>
      <c r="E11" s="14">
        <f>+'Opening RAB'!E19+'Opening RAB'!E20</f>
        <v>3.4081075070068887</v>
      </c>
      <c r="F11" s="14">
        <f>+'Opening RAB'!F19+'Opening RAB'!F20</f>
        <v>5.3416121105361594</v>
      </c>
      <c r="G11" s="88">
        <f t="shared" si="0"/>
        <v>11.182721869446326</v>
      </c>
      <c r="H11" s="8"/>
      <c r="I11" s="4"/>
      <c r="O11" s="4"/>
      <c r="P11" s="4"/>
      <c r="Q11" s="4"/>
      <c r="R11" s="4"/>
      <c r="X11" s="4"/>
      <c r="Y11" s="4"/>
      <c r="Z11" s="4"/>
    </row>
    <row r="12" spans="1:26" x14ac:dyDescent="0.2">
      <c r="A12" s="57"/>
      <c r="B12" s="49" t="s">
        <v>70</v>
      </c>
      <c r="C12" s="50">
        <f>+SUM(C8:C11)</f>
        <v>32.998892738001238</v>
      </c>
      <c r="D12" s="50">
        <f>+SUM(D8:D11)</f>
        <v>28.820656430932722</v>
      </c>
      <c r="E12" s="50">
        <f>+SUM(E8:E11)</f>
        <v>57.295835653500255</v>
      </c>
      <c r="F12" s="50">
        <f>+SUM(F8:F11)</f>
        <v>22.626708598829445</v>
      </c>
      <c r="G12" s="15">
        <f>SUM(C12:F12)</f>
        <v>141.74209342126366</v>
      </c>
      <c r="H12" s="8"/>
      <c r="I12" s="4"/>
      <c r="R12" s="4"/>
      <c r="S12" s="5"/>
      <c r="T12" s="7"/>
      <c r="U12" s="7"/>
      <c r="V12" s="7"/>
      <c r="W12" s="7"/>
      <c r="X12" s="4"/>
      <c r="Y12" s="4"/>
      <c r="Z12" s="4"/>
    </row>
    <row r="13" spans="1:26" x14ac:dyDescent="0.2">
      <c r="A13" s="60"/>
      <c r="B13" s="22" t="s">
        <v>65</v>
      </c>
      <c r="C13" s="23" t="s">
        <v>30</v>
      </c>
      <c r="D13" s="24" t="s">
        <v>30</v>
      </c>
      <c r="E13" s="24" t="s">
        <v>30</v>
      </c>
      <c r="F13" s="24" t="s">
        <v>30</v>
      </c>
      <c r="G13" s="25" t="s">
        <v>30</v>
      </c>
      <c r="H13" s="47"/>
      <c r="I13" s="4"/>
      <c r="J13" s="4"/>
      <c r="K13" s="4"/>
      <c r="L13" s="4"/>
      <c r="M13" s="4"/>
      <c r="N13" s="4"/>
      <c r="P13" s="4"/>
      <c r="Q13" s="4"/>
      <c r="R13" s="4"/>
      <c r="S13" s="5"/>
      <c r="T13" s="7"/>
      <c r="U13" s="7"/>
      <c r="V13" s="7"/>
      <c r="W13" s="7"/>
      <c r="X13" s="4"/>
      <c r="Y13" s="4"/>
      <c r="Z13" s="4"/>
    </row>
    <row r="14" spans="1:26" x14ac:dyDescent="0.2">
      <c r="A14" s="57"/>
      <c r="B14" s="21"/>
      <c r="C14" s="26"/>
      <c r="D14" s="26"/>
      <c r="E14" s="26"/>
      <c r="F14" s="26"/>
      <c r="G14" s="27"/>
      <c r="H14" s="8"/>
      <c r="I14" s="4"/>
      <c r="P14" s="4"/>
      <c r="Q14" s="4"/>
      <c r="R14" s="4"/>
      <c r="S14" s="5"/>
      <c r="T14" s="7"/>
      <c r="U14" s="7"/>
      <c r="V14" s="7"/>
      <c r="W14" s="7"/>
      <c r="X14" s="4"/>
      <c r="Y14" s="4"/>
      <c r="Z14" s="4"/>
    </row>
    <row r="15" spans="1:26" x14ac:dyDescent="0.2">
      <c r="A15" s="57"/>
      <c r="B15" s="11" t="s">
        <v>2</v>
      </c>
      <c r="C15" s="2"/>
      <c r="D15" s="2"/>
      <c r="E15" s="2"/>
      <c r="F15" s="2"/>
      <c r="G15" s="12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61"/>
      <c r="B16" s="28"/>
      <c r="C16" s="29"/>
      <c r="D16" s="29"/>
      <c r="E16" s="29"/>
      <c r="F16" s="29"/>
      <c r="G16" s="30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V16" s="4"/>
      <c r="W16" s="4"/>
      <c r="X16" s="4"/>
      <c r="Y16" s="4"/>
      <c r="Z16" s="4"/>
    </row>
    <row r="17" spans="1:26" x14ac:dyDescent="0.2">
      <c r="A17" s="57"/>
      <c r="B17" s="31" t="s">
        <v>3</v>
      </c>
      <c r="C17" s="148">
        <v>0</v>
      </c>
      <c r="D17" s="148">
        <v>0</v>
      </c>
      <c r="E17" s="148">
        <v>0</v>
      </c>
      <c r="F17" s="148">
        <v>0</v>
      </c>
      <c r="G17" s="150">
        <f t="shared" ref="G17:G19" si="2">SUM(C17:F17)</f>
        <v>0</v>
      </c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V17" s="4"/>
      <c r="W17" s="4"/>
      <c r="X17" s="4"/>
      <c r="Y17" s="4"/>
      <c r="Z17" s="4"/>
    </row>
    <row r="18" spans="1:26" x14ac:dyDescent="0.2">
      <c r="A18" s="57"/>
      <c r="B18" s="21" t="s">
        <v>4</v>
      </c>
      <c r="C18" s="148">
        <v>0</v>
      </c>
      <c r="D18" s="148">
        <v>0</v>
      </c>
      <c r="E18" s="148">
        <v>0</v>
      </c>
      <c r="F18" s="148">
        <v>0</v>
      </c>
      <c r="G18" s="151">
        <f t="shared" si="2"/>
        <v>0</v>
      </c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V18" s="4"/>
      <c r="W18" s="4"/>
      <c r="X18" s="4"/>
      <c r="Y18" s="4"/>
      <c r="Z18" s="4"/>
    </row>
    <row r="19" spans="1:26" x14ac:dyDescent="0.2">
      <c r="A19" s="57"/>
      <c r="B19" s="22" t="s">
        <v>5</v>
      </c>
      <c r="C19" s="152">
        <f>C18*0.3</f>
        <v>0</v>
      </c>
      <c r="D19" s="152">
        <f t="shared" ref="D19:F19" si="3">D18*0.3</f>
        <v>0</v>
      </c>
      <c r="E19" s="152">
        <f t="shared" si="3"/>
        <v>0</v>
      </c>
      <c r="F19" s="152">
        <f t="shared" si="3"/>
        <v>0</v>
      </c>
      <c r="G19" s="150">
        <f t="shared" si="2"/>
        <v>0</v>
      </c>
      <c r="H19" s="16"/>
      <c r="I19" s="17"/>
      <c r="J19" s="4"/>
      <c r="K19" s="4"/>
      <c r="L19" s="4"/>
      <c r="M19" s="4"/>
      <c r="N19" s="4"/>
      <c r="O19" s="4"/>
      <c r="P19" s="4"/>
      <c r="Q19" s="4"/>
      <c r="R19" s="4"/>
      <c r="S19" s="6"/>
      <c r="T19" s="4"/>
      <c r="U19" s="4"/>
      <c r="V19" s="4"/>
      <c r="W19" s="4"/>
      <c r="X19" s="4"/>
      <c r="Y19" s="4"/>
      <c r="Z19" s="4"/>
    </row>
    <row r="20" spans="1:26" x14ac:dyDescent="0.2">
      <c r="A20" s="57"/>
      <c r="B20" s="21"/>
      <c r="C20" s="34"/>
      <c r="D20" s="34"/>
      <c r="E20" s="34"/>
      <c r="F20" s="34"/>
      <c r="G20" s="15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6"/>
      <c r="T20" s="4"/>
      <c r="U20" s="4"/>
      <c r="V20" s="4"/>
      <c r="W20" s="4"/>
      <c r="X20" s="4"/>
      <c r="Y20" s="4"/>
      <c r="Z20" s="4"/>
    </row>
    <row r="21" spans="1:26" x14ac:dyDescent="0.2">
      <c r="A21" s="57"/>
      <c r="B21" s="11" t="s">
        <v>6</v>
      </c>
      <c r="C21" s="3"/>
      <c r="D21" s="3"/>
      <c r="E21" s="3"/>
      <c r="F21" s="3"/>
      <c r="G21" s="13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6"/>
      <c r="T21" s="4"/>
      <c r="U21" s="4"/>
      <c r="V21" s="4"/>
      <c r="W21" s="4"/>
      <c r="X21" s="4"/>
      <c r="Y21" s="4"/>
      <c r="Z21" s="4"/>
    </row>
    <row r="22" spans="1:26" x14ac:dyDescent="0.2">
      <c r="A22" s="61"/>
      <c r="B22" s="18"/>
      <c r="C22" s="35"/>
      <c r="D22" s="35"/>
      <c r="E22" s="35"/>
      <c r="F22" s="35"/>
      <c r="G22" s="36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">
      <c r="A23" s="57"/>
      <c r="B23" s="21" t="s">
        <v>7</v>
      </c>
      <c r="C23" s="148">
        <v>0</v>
      </c>
      <c r="D23" s="148">
        <v>0</v>
      </c>
      <c r="E23" s="148">
        <v>0</v>
      </c>
      <c r="F23" s="148">
        <v>0</v>
      </c>
      <c r="G23" s="150">
        <f t="shared" ref="G23:G30" si="4">SUM(C23:F23)</f>
        <v>0</v>
      </c>
      <c r="H23" s="8"/>
      <c r="M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">
      <c r="A24" s="57"/>
      <c r="B24" s="21" t="s">
        <v>8</v>
      </c>
      <c r="C24" s="148">
        <v>0</v>
      </c>
      <c r="D24" s="148">
        <v>0</v>
      </c>
      <c r="E24" s="148">
        <v>0</v>
      </c>
      <c r="F24" s="148">
        <v>0</v>
      </c>
      <c r="G24" s="150">
        <f t="shared" si="4"/>
        <v>0</v>
      </c>
      <c r="H24" s="8"/>
      <c r="M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">
      <c r="A25" s="57"/>
      <c r="B25" s="31" t="s">
        <v>9</v>
      </c>
      <c r="C25" s="148">
        <v>0</v>
      </c>
      <c r="D25" s="148">
        <v>0</v>
      </c>
      <c r="E25" s="149">
        <v>0</v>
      </c>
      <c r="F25" s="148">
        <v>0</v>
      </c>
      <c r="G25" s="150">
        <f t="shared" si="4"/>
        <v>0</v>
      </c>
      <c r="H25" s="8"/>
      <c r="M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57"/>
      <c r="B26" s="62" t="s">
        <v>10</v>
      </c>
      <c r="C26" s="148">
        <v>0</v>
      </c>
      <c r="D26" s="148">
        <v>0</v>
      </c>
      <c r="E26" s="148">
        <v>0</v>
      </c>
      <c r="F26" s="148">
        <v>0</v>
      </c>
      <c r="G26" s="150">
        <f t="shared" si="4"/>
        <v>0</v>
      </c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">
      <c r="A27" s="57"/>
      <c r="B27" s="31" t="s">
        <v>3</v>
      </c>
      <c r="C27" s="14">
        <f>C17</f>
        <v>0</v>
      </c>
      <c r="D27" s="14">
        <f t="shared" ref="D27:F27" si="5">D17</f>
        <v>0</v>
      </c>
      <c r="E27" s="14">
        <f t="shared" si="5"/>
        <v>0</v>
      </c>
      <c r="F27" s="14">
        <f t="shared" si="5"/>
        <v>0</v>
      </c>
      <c r="G27" s="15">
        <f t="shared" si="4"/>
        <v>0</v>
      </c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">
      <c r="A28" s="57"/>
      <c r="B28" s="22" t="s">
        <v>11</v>
      </c>
      <c r="C28" s="32">
        <f>C23-C24-C25-C26-C27</f>
        <v>0</v>
      </c>
      <c r="D28" s="32">
        <f>D23-D24-D25-D26-D27</f>
        <v>0</v>
      </c>
      <c r="E28" s="32">
        <f t="shared" ref="E28:F28" si="6">E23-E24-E25-E26-E27</f>
        <v>0</v>
      </c>
      <c r="F28" s="32">
        <f t="shared" si="6"/>
        <v>0</v>
      </c>
      <c r="G28" s="33">
        <f t="shared" si="4"/>
        <v>0</v>
      </c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">
      <c r="A29" s="57"/>
      <c r="B29" s="21" t="s">
        <v>4</v>
      </c>
      <c r="C29" s="14">
        <f>C18</f>
        <v>0</v>
      </c>
      <c r="D29" s="14">
        <f t="shared" ref="D29:F29" si="7">D18</f>
        <v>0</v>
      </c>
      <c r="E29" s="14">
        <f t="shared" si="7"/>
        <v>0</v>
      </c>
      <c r="F29" s="14">
        <f t="shared" si="7"/>
        <v>0</v>
      </c>
      <c r="G29" s="15">
        <f t="shared" si="4"/>
        <v>0</v>
      </c>
      <c r="H29" s="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">
      <c r="A30" s="57"/>
      <c r="B30" s="22" t="s">
        <v>12</v>
      </c>
      <c r="C30" s="32">
        <f>C28-C29</f>
        <v>0</v>
      </c>
      <c r="D30" s="32">
        <f t="shared" ref="D30:F30" si="8">D28-D29</f>
        <v>0</v>
      </c>
      <c r="E30" s="32">
        <f t="shared" si="8"/>
        <v>0</v>
      </c>
      <c r="F30" s="32">
        <f t="shared" si="8"/>
        <v>0</v>
      </c>
      <c r="G30" s="33">
        <f t="shared" si="4"/>
        <v>0</v>
      </c>
      <c r="H30" s="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">
      <c r="A31" s="57"/>
      <c r="B31" s="21"/>
      <c r="C31" s="14"/>
      <c r="D31" s="14"/>
      <c r="E31" s="14"/>
      <c r="F31" s="14"/>
      <c r="G31" s="15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">
      <c r="A32" s="57"/>
      <c r="B32" s="11" t="s">
        <v>34</v>
      </c>
      <c r="C32" s="3"/>
      <c r="D32" s="3"/>
      <c r="E32" s="3"/>
      <c r="F32" s="3"/>
      <c r="G32" s="13"/>
      <c r="H32" s="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">
      <c r="A33" s="61"/>
      <c r="B33" s="18"/>
      <c r="C33" s="35"/>
      <c r="D33" s="35"/>
      <c r="E33" s="35"/>
      <c r="F33" s="35"/>
      <c r="G33" s="36"/>
      <c r="H33" s="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">
      <c r="A34" s="57"/>
      <c r="B34" s="31" t="s">
        <v>37</v>
      </c>
      <c r="C34" s="14">
        <f>C12</f>
        <v>32.998892738001238</v>
      </c>
      <c r="D34" s="14">
        <f t="shared" ref="D34:F34" si="9">D12</f>
        <v>28.820656430932722</v>
      </c>
      <c r="E34" s="14">
        <f t="shared" si="9"/>
        <v>57.295835653500255</v>
      </c>
      <c r="F34" s="14">
        <f t="shared" si="9"/>
        <v>22.626708598829445</v>
      </c>
      <c r="G34" s="15">
        <f t="shared" ref="G34:G46" si="10">SUM(C34:F34)</f>
        <v>141.74209342126366</v>
      </c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57"/>
      <c r="B35" s="31" t="s">
        <v>13</v>
      </c>
      <c r="C35" s="14">
        <f>C34*0.6</f>
        <v>19.799335642800742</v>
      </c>
      <c r="D35" s="14">
        <f t="shared" ref="D35:F35" si="11">D34*0.6</f>
        <v>17.292393858559631</v>
      </c>
      <c r="E35" s="14">
        <f t="shared" si="11"/>
        <v>34.37750139210015</v>
      </c>
      <c r="F35" s="14">
        <f t="shared" si="11"/>
        <v>13.576025159297666</v>
      </c>
      <c r="G35" s="15">
        <f t="shared" si="10"/>
        <v>85.045256052758191</v>
      </c>
      <c r="H35" s="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57"/>
      <c r="B36" s="31" t="s">
        <v>14</v>
      </c>
      <c r="C36" s="14">
        <f>C34-C35</f>
        <v>13.199557095200497</v>
      </c>
      <c r="D36" s="14">
        <f>D34-D35</f>
        <v>11.528262572373091</v>
      </c>
      <c r="E36" s="14">
        <f t="shared" ref="E36:F36" si="12">E34-E35</f>
        <v>22.918334261400105</v>
      </c>
      <c r="F36" s="14">
        <f t="shared" si="12"/>
        <v>9.0506834395317792</v>
      </c>
      <c r="G36" s="15">
        <f t="shared" si="10"/>
        <v>56.69683736850547</v>
      </c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">
      <c r="A37" s="57"/>
      <c r="B37" s="22" t="s">
        <v>12</v>
      </c>
      <c r="C37" s="32">
        <f>C30</f>
        <v>0</v>
      </c>
      <c r="D37" s="32">
        <f>D30</f>
        <v>0</v>
      </c>
      <c r="E37" s="32">
        <f t="shared" ref="E37:F37" si="13">E30</f>
        <v>0</v>
      </c>
      <c r="F37" s="32">
        <f t="shared" si="13"/>
        <v>0</v>
      </c>
      <c r="G37" s="33">
        <f t="shared" si="10"/>
        <v>0</v>
      </c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">
      <c r="A38" s="57"/>
      <c r="B38" s="22" t="s">
        <v>15</v>
      </c>
      <c r="C38" s="14">
        <f>C36-C37</f>
        <v>13.199557095200497</v>
      </c>
      <c r="D38" s="14">
        <f>D36-D37</f>
        <v>11.528262572373091</v>
      </c>
      <c r="E38" s="14">
        <f t="shared" ref="E38:F38" si="14">E36-E37</f>
        <v>22.918334261400105</v>
      </c>
      <c r="F38" s="14">
        <f t="shared" si="14"/>
        <v>9.0506834395317792</v>
      </c>
      <c r="G38" s="15">
        <f t="shared" si="10"/>
        <v>56.69683736850547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">
      <c r="A39" s="57"/>
      <c r="B39" s="21"/>
      <c r="C39" s="14"/>
      <c r="D39" s="14"/>
      <c r="E39" s="14"/>
      <c r="F39" s="14"/>
      <c r="G39" s="37"/>
      <c r="H39" s="8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">
      <c r="A40" s="57"/>
      <c r="B40" s="11" t="s">
        <v>35</v>
      </c>
      <c r="C40" s="3"/>
      <c r="D40" s="3"/>
      <c r="E40" s="3"/>
      <c r="F40" s="3"/>
      <c r="G40" s="13"/>
      <c r="H40" s="8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">
      <c r="A41" s="57"/>
      <c r="B41" s="21"/>
      <c r="C41" s="35"/>
      <c r="D41" s="35"/>
      <c r="E41" s="35"/>
      <c r="F41" s="35"/>
      <c r="G41" s="36"/>
      <c r="H41" s="8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">
      <c r="A42" s="57"/>
      <c r="B42" s="21" t="s">
        <v>14</v>
      </c>
      <c r="C42" s="14">
        <f>C36/C68*$C$68</f>
        <v>13.199557095200497</v>
      </c>
      <c r="D42" s="14">
        <f>D36/D68*$C$68</f>
        <v>10.690965214287887</v>
      </c>
      <c r="E42" s="14">
        <f>E36/E68*$C$68</f>
        <v>20.338541956804885</v>
      </c>
      <c r="F42" s="14">
        <f>F36/F68*$C$68</f>
        <v>7.7602871535472771</v>
      </c>
      <c r="G42" s="15">
        <f t="shared" si="10"/>
        <v>51.989351419840538</v>
      </c>
      <c r="H42" s="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">
      <c r="A43" s="57"/>
      <c r="B43" s="21" t="s">
        <v>12</v>
      </c>
      <c r="C43" s="14">
        <f>C37/C68*$C$68</f>
        <v>0</v>
      </c>
      <c r="D43" s="14">
        <f>D37/D68*$C$68</f>
        <v>0</v>
      </c>
      <c r="E43" s="14">
        <f>E37/E68*$C$68</f>
        <v>0</v>
      </c>
      <c r="F43" s="14">
        <f>F37/F68*$C$68</f>
        <v>0</v>
      </c>
      <c r="G43" s="15">
        <f t="shared" si="10"/>
        <v>0</v>
      </c>
      <c r="H43" s="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">
      <c r="A44" s="57"/>
      <c r="B44" s="21" t="s">
        <v>16</v>
      </c>
      <c r="C44" s="38">
        <f>C42-C43</f>
        <v>13.199557095200497</v>
      </c>
      <c r="D44" s="32">
        <f>D42-D43</f>
        <v>10.690965214287887</v>
      </c>
      <c r="E44" s="32">
        <f t="shared" ref="E44:F44" si="15">E42-E43</f>
        <v>20.338541956804885</v>
      </c>
      <c r="F44" s="32">
        <f t="shared" si="15"/>
        <v>7.7602871535472771</v>
      </c>
      <c r="G44" s="33">
        <f t="shared" si="10"/>
        <v>51.989351419840538</v>
      </c>
      <c r="H44" s="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">
      <c r="A45" s="57"/>
      <c r="B45" s="21"/>
      <c r="C45" s="14"/>
      <c r="D45" s="14"/>
      <c r="E45" s="14"/>
      <c r="F45" s="14"/>
      <c r="G45" s="15"/>
      <c r="H45" s="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">
      <c r="A46" s="57"/>
      <c r="B46" s="21" t="s">
        <v>5</v>
      </c>
      <c r="C46" s="38">
        <f>C19/C68*$C$68</f>
        <v>0</v>
      </c>
      <c r="D46" s="32">
        <f>D19/D68*$C$68</f>
        <v>0</v>
      </c>
      <c r="E46" s="32">
        <f>E19/E68*$C$68</f>
        <v>0</v>
      </c>
      <c r="F46" s="32">
        <f>F19/F68*$C$68</f>
        <v>0</v>
      </c>
      <c r="G46" s="39">
        <f t="shared" si="10"/>
        <v>0</v>
      </c>
      <c r="H46" s="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">
      <c r="A47" s="57"/>
      <c r="B47" s="21"/>
      <c r="C47" s="14"/>
      <c r="D47" s="14"/>
      <c r="E47" s="14"/>
      <c r="F47" s="14"/>
      <c r="G47" s="37"/>
      <c r="H47" s="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">
      <c r="A48" s="57"/>
      <c r="B48" s="11" t="s">
        <v>28</v>
      </c>
      <c r="C48" s="3"/>
      <c r="D48" s="3"/>
      <c r="E48" s="3"/>
      <c r="F48" s="3"/>
      <c r="G48" s="13"/>
      <c r="H48" s="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">
      <c r="A49" s="61"/>
      <c r="B49" s="28"/>
      <c r="C49" s="40"/>
      <c r="D49" s="40"/>
      <c r="E49" s="40"/>
      <c r="F49" s="40"/>
      <c r="G49" s="41"/>
      <c r="H49" s="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">
      <c r="A50" s="57"/>
      <c r="B50" s="31" t="s">
        <v>17</v>
      </c>
      <c r="C50" s="35"/>
      <c r="D50" s="35"/>
      <c r="E50" s="35"/>
      <c r="F50" s="35"/>
      <c r="G50" s="36">
        <f>IF(G44&gt;0,MIN(G44,G46),0)</f>
        <v>0</v>
      </c>
      <c r="H50" s="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">
      <c r="A51" s="57"/>
      <c r="B51" s="21" t="s">
        <v>18</v>
      </c>
      <c r="C51" s="35"/>
      <c r="D51" s="35"/>
      <c r="E51" s="35"/>
      <c r="F51" s="35"/>
      <c r="G51" s="36">
        <f>IF((G44-G46)&gt;0,(G44-G46),0)</f>
        <v>51.989351419840538</v>
      </c>
      <c r="H51" s="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">
      <c r="A52" s="57"/>
      <c r="B52" s="21" t="s">
        <v>19</v>
      </c>
      <c r="C52" s="35"/>
      <c r="D52" s="35"/>
      <c r="E52" s="35"/>
      <c r="F52" s="35"/>
      <c r="G52" s="42">
        <f>SUM(G50:G51)</f>
        <v>51.989351419840538</v>
      </c>
      <c r="H52" s="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">
      <c r="A53" s="57"/>
      <c r="B53" s="21"/>
      <c r="C53" s="35"/>
      <c r="D53" s="35"/>
      <c r="E53" s="35"/>
      <c r="F53" s="35"/>
      <c r="G53" s="36"/>
      <c r="H53" s="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">
      <c r="A54" s="57"/>
      <c r="B54" s="31" t="s">
        <v>20</v>
      </c>
      <c r="C54" s="14"/>
      <c r="D54" s="14"/>
      <c r="E54" s="14"/>
      <c r="F54" s="14"/>
      <c r="G54" s="15">
        <f>G50*C73</f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">
      <c r="A55" s="57"/>
      <c r="B55" s="31" t="s">
        <v>21</v>
      </c>
      <c r="C55" s="14"/>
      <c r="D55" s="14"/>
      <c r="E55" s="14"/>
      <c r="F55" s="14"/>
      <c r="G55" s="15">
        <f>G51*C74</f>
        <v>1.559680542595216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">
      <c r="A56" s="57"/>
      <c r="B56" s="31" t="s">
        <v>22</v>
      </c>
      <c r="C56" s="14"/>
      <c r="D56" s="14"/>
      <c r="E56" s="14"/>
      <c r="F56" s="14"/>
      <c r="G56" s="43">
        <f>SUM(G54:G55)</f>
        <v>1.559680542595216</v>
      </c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thickBot="1" x14ac:dyDescent="0.25">
      <c r="A57" s="57"/>
      <c r="B57" s="44"/>
      <c r="C57" s="45"/>
      <c r="D57" s="45"/>
      <c r="E57" s="45"/>
      <c r="F57" s="45"/>
      <c r="G57" s="46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thickBot="1" x14ac:dyDescent="0.25">
      <c r="B58" s="4"/>
      <c r="C58" s="4"/>
      <c r="D58" s="4"/>
      <c r="E58" s="4"/>
      <c r="F58" s="4"/>
      <c r="G58" s="4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x14ac:dyDescent="0.25">
      <c r="B59" s="66" t="s">
        <v>42</v>
      </c>
      <c r="C59" s="67"/>
      <c r="D59" s="67"/>
      <c r="E59" s="67"/>
      <c r="F59" s="67"/>
      <c r="G59" s="68"/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x14ac:dyDescent="0.25">
      <c r="B60" s="69"/>
      <c r="C60" s="4"/>
      <c r="D60" s="4"/>
      <c r="E60" s="4"/>
      <c r="F60" s="4"/>
      <c r="G60" s="70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">
      <c r="B61" s="71" t="s">
        <v>43</v>
      </c>
      <c r="C61" s="63"/>
      <c r="D61" s="51"/>
      <c r="E61" s="51"/>
      <c r="F61" s="51"/>
      <c r="G61" s="72"/>
      <c r="H61" s="52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">
      <c r="B62" s="21"/>
      <c r="C62" s="4"/>
      <c r="D62" s="4"/>
      <c r="E62" s="4"/>
      <c r="F62" s="73" t="s">
        <v>44</v>
      </c>
      <c r="G62" s="74">
        <f>G56</f>
        <v>1.559680542595216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">
      <c r="B63" s="21"/>
      <c r="C63" s="4"/>
      <c r="D63" s="4"/>
      <c r="E63" s="4"/>
      <c r="F63" s="73" t="s">
        <v>41</v>
      </c>
      <c r="G63" s="158">
        <v>1.5596805425952163</v>
      </c>
      <c r="H63" s="159" t="s">
        <v>72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">
      <c r="B64" s="21"/>
      <c r="C64" s="4"/>
      <c r="D64" s="4"/>
      <c r="E64" s="4"/>
      <c r="F64" s="75" t="s">
        <v>31</v>
      </c>
      <c r="G64" s="74">
        <f>G63-G62</f>
        <v>0</v>
      </c>
      <c r="H64" s="159" t="s">
        <v>72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">
      <c r="A65" s="64"/>
      <c r="B65" s="21"/>
      <c r="C65" s="76"/>
      <c r="D65" s="4"/>
      <c r="E65" s="4"/>
      <c r="F65" s="4" t="s">
        <v>66</v>
      </c>
      <c r="G65" s="146">
        <f>+G64*1000000</f>
        <v>0</v>
      </c>
      <c r="H65" s="15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">
      <c r="B66" s="71" t="s">
        <v>45</v>
      </c>
      <c r="C66" s="51"/>
      <c r="D66" s="51"/>
      <c r="E66" s="51"/>
      <c r="F66" s="51"/>
      <c r="G66" s="77"/>
      <c r="H66" s="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">
      <c r="B67" s="78" t="s">
        <v>29</v>
      </c>
      <c r="C67" s="79">
        <v>44531</v>
      </c>
      <c r="D67" s="79">
        <v>44896</v>
      </c>
      <c r="E67" s="79">
        <v>45261</v>
      </c>
      <c r="F67" s="79">
        <v>45627</v>
      </c>
      <c r="G67" s="7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">
      <c r="B68" s="80" t="s">
        <v>46</v>
      </c>
      <c r="C68" s="81">
        <v>121.3</v>
      </c>
      <c r="D68" s="81">
        <v>130.80000000000001</v>
      </c>
      <c r="E68" s="76">
        <f>D68*(1+E69)</f>
        <v>136.68600000000001</v>
      </c>
      <c r="F68" s="76">
        <f>E68*(1+F69)</f>
        <v>141.47001</v>
      </c>
      <c r="G68" s="7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">
      <c r="B69" s="21" t="s">
        <v>71</v>
      </c>
      <c r="C69" s="76"/>
      <c r="D69" s="4"/>
      <c r="E69" s="154">
        <v>4.4999999999999998E-2</v>
      </c>
      <c r="F69" s="154">
        <v>3.5000000000000003E-2</v>
      </c>
      <c r="G69" s="59"/>
      <c r="H69" s="153" t="s">
        <v>73</v>
      </c>
      <c r="I69" s="4"/>
      <c r="J69" s="4"/>
    </row>
    <row r="70" spans="1:26" x14ac:dyDescent="0.2">
      <c r="B70" s="58"/>
      <c r="G70" s="59"/>
    </row>
    <row r="71" spans="1:26" x14ac:dyDescent="0.2">
      <c r="B71" s="58"/>
      <c r="G71" s="59"/>
    </row>
    <row r="72" spans="1:26" ht="15" x14ac:dyDescent="0.25">
      <c r="B72" s="71" t="s">
        <v>47</v>
      </c>
      <c r="C72" s="65"/>
      <c r="D72" s="65"/>
      <c r="E72" s="65"/>
      <c r="F72" s="65"/>
      <c r="G72" s="83"/>
    </row>
    <row r="73" spans="1:26" x14ac:dyDescent="0.2">
      <c r="B73" s="84" t="s">
        <v>20</v>
      </c>
      <c r="C73" s="82">
        <v>0.01</v>
      </c>
      <c r="D73" s="4" t="s">
        <v>38</v>
      </c>
      <c r="G73" s="59"/>
    </row>
    <row r="74" spans="1:26" x14ac:dyDescent="0.2">
      <c r="B74" s="84" t="s">
        <v>48</v>
      </c>
      <c r="C74" s="82">
        <v>0.03</v>
      </c>
      <c r="D74" s="4" t="s">
        <v>39</v>
      </c>
      <c r="G74" s="59"/>
    </row>
    <row r="75" spans="1:26" ht="15" thickBot="1" x14ac:dyDescent="0.25">
      <c r="B75" s="85"/>
      <c r="C75" s="86"/>
      <c r="D75" s="86"/>
      <c r="E75" s="86"/>
      <c r="F75" s="86"/>
      <c r="G75" s="87"/>
    </row>
  </sheetData>
  <pageMargins left="0.7" right="0.7" top="0.75" bottom="0.75" header="0.3" footer="0.3"/>
  <pageSetup paperSize="9" orientation="portrait" r:id="rId1"/>
  <ignoredErrors>
    <ignoredError sqref="C37 D37:F37 G10" formula="1"/>
    <ignoredError sqref="C12:F1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Opening RAB</vt:lpstr>
      <vt:lpstr>Equity raising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2023-07-31T03:07:25Z</dcterms:created>
  <dcterms:modified xsi:type="dcterms:W3CDTF">2023-12-18T23:44:29Z</dcterms:modified>
</cp:coreProperties>
</file>