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hidePivotFieldList="1"/>
  <xr:revisionPtr revIDLastSave="0" documentId="13_ncr:1_{B56CD8B8-9EA2-4515-890A-46D7C1FB604D}" xr6:coauthVersionLast="47" xr6:coauthVersionMax="47" xr10:uidLastSave="{00000000-0000-0000-0000-000000000000}"/>
  <bookViews>
    <workbookView xWindow="28680" yWindow="-15" windowWidth="29040" windowHeight="15840" tabRatio="811" xr2:uid="{00000000-000D-0000-FFFF-FFFF00000000}"/>
  </bookViews>
  <sheets>
    <sheet name="Cover" sheetId="20" r:id="rId1"/>
    <sheet name="Output | Decision tables" sheetId="19" r:id="rId2"/>
    <sheet name="STPIS inputs" sheetId="21" r:id="rId3"/>
    <sheet name="Annual performance and targets" sheetId="17" r:id="rId4"/>
    <sheet name="Incentive rates calc" sheetId="14" r:id="rId5"/>
    <sheet name="Change log" sheetId="2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1" l="1"/>
  <c r="B4" i="21"/>
  <c r="C18" i="19"/>
  <c r="D29" i="19" s="1"/>
  <c r="E18" i="21"/>
  <c r="F18" i="21"/>
  <c r="G18" i="21"/>
  <c r="H18" i="21"/>
  <c r="D6" i="21"/>
  <c r="D18" i="21" s="1"/>
  <c r="D22" i="19"/>
  <c r="E22" i="19"/>
  <c r="F22" i="19"/>
  <c r="G22" i="19"/>
  <c r="C22" i="19"/>
  <c r="D17" i="19"/>
  <c r="E17" i="19"/>
  <c r="F17" i="19"/>
  <c r="G17" i="19"/>
  <c r="C17" i="19"/>
  <c r="D12" i="19"/>
  <c r="E12" i="19"/>
  <c r="F12" i="19"/>
  <c r="G12" i="19"/>
  <c r="C12" i="19"/>
  <c r="C11" i="21" l="1"/>
  <c r="H21" i="17"/>
  <c r="H22" i="17"/>
  <c r="H23" i="17"/>
  <c r="H24" i="17"/>
  <c r="H20" i="17"/>
  <c r="Q21" i="17"/>
  <c r="Q22" i="17"/>
  <c r="Q23" i="17"/>
  <c r="Q24" i="17"/>
  <c r="Q20" i="17"/>
  <c r="M32" i="17"/>
  <c r="N32" i="17"/>
  <c r="O32" i="17"/>
  <c r="M33" i="17"/>
  <c r="N33" i="17"/>
  <c r="O33" i="17"/>
  <c r="M34" i="17"/>
  <c r="N34" i="17"/>
  <c r="O34" i="17"/>
  <c r="M35" i="17"/>
  <c r="N35" i="17"/>
  <c r="O35" i="17"/>
  <c r="M36" i="17"/>
  <c r="N36" i="17"/>
  <c r="O36" i="17"/>
  <c r="L34" i="17"/>
  <c r="D33" i="17"/>
  <c r="E33" i="17"/>
  <c r="F33" i="17"/>
  <c r="C34" i="17"/>
  <c r="D34" i="17"/>
  <c r="E34" i="17"/>
  <c r="F34" i="17"/>
  <c r="D35" i="17"/>
  <c r="E35" i="17"/>
  <c r="F35" i="17"/>
  <c r="C36" i="17"/>
  <c r="D36" i="17"/>
  <c r="E36" i="17"/>
  <c r="F36" i="17"/>
  <c r="D32" i="17"/>
  <c r="E32" i="17"/>
  <c r="F32" i="17"/>
  <c r="C32" i="17"/>
  <c r="Q11" i="17" l="1"/>
  <c r="Q8" i="17"/>
  <c r="Q12" i="17"/>
  <c r="H9" i="17"/>
  <c r="C33" i="17"/>
  <c r="H32" i="17"/>
  <c r="C19" i="19" s="1"/>
  <c r="E29" i="19" s="1"/>
  <c r="H36" i="17"/>
  <c r="G19" i="19" s="1"/>
  <c r="H8" i="17"/>
  <c r="H12" i="17"/>
  <c r="Q10" i="17"/>
  <c r="L33" i="17"/>
  <c r="Q33" i="17" s="1"/>
  <c r="D18" i="19" s="1"/>
  <c r="D30" i="19" s="1"/>
  <c r="Q9" i="17"/>
  <c r="C35" i="17"/>
  <c r="H11" i="17"/>
  <c r="H10" i="17"/>
  <c r="L32" i="17"/>
  <c r="L36" i="17"/>
  <c r="Q36" i="17" s="1"/>
  <c r="G18" i="19" s="1"/>
  <c r="L35" i="17"/>
  <c r="Q35" i="17" s="1"/>
  <c r="F18" i="19" s="1"/>
  <c r="D32" i="19" s="1"/>
  <c r="Q34" i="17"/>
  <c r="E18" i="19" s="1"/>
  <c r="D31" i="19" s="1"/>
  <c r="H34" i="17"/>
  <c r="E19" i="19" s="1"/>
  <c r="E31" i="19" s="1"/>
  <c r="E33" i="19" l="1"/>
  <c r="D33" i="19"/>
  <c r="F9" i="14"/>
  <c r="D8" i="14"/>
  <c r="G9" i="14"/>
  <c r="G8" i="14"/>
  <c r="H8" i="14"/>
  <c r="H9" i="14"/>
  <c r="H35" i="17"/>
  <c r="F19" i="19" s="1"/>
  <c r="E32" i="19" s="1"/>
  <c r="H33" i="17"/>
  <c r="D19" i="19" s="1"/>
  <c r="E30" i="19" s="1"/>
  <c r="Q32" i="17"/>
  <c r="E9" i="14"/>
  <c r="H7" i="14"/>
  <c r="D55" i="21" l="1"/>
  <c r="F8" i="14"/>
  <c r="E8" i="14"/>
  <c r="D9" i="14"/>
  <c r="F30" i="21"/>
  <c r="D37" i="21"/>
  <c r="H56" i="21"/>
  <c r="H23" i="21"/>
  <c r="D57" i="21"/>
  <c r="E37" i="21"/>
  <c r="H44" i="21"/>
  <c r="H37" i="21"/>
  <c r="H57" i="21"/>
  <c r="G37" i="21"/>
  <c r="F55" i="21"/>
  <c r="E55" i="21"/>
  <c r="F56" i="21"/>
  <c r="H30" i="21"/>
  <c r="I50" i="21"/>
  <c r="E54" i="21"/>
  <c r="E56" i="21"/>
  <c r="G30" i="21"/>
  <c r="G51" i="21"/>
  <c r="G44" i="21"/>
  <c r="F23" i="21"/>
  <c r="I33" i="21"/>
  <c r="I29" i="21"/>
  <c r="G57" i="21"/>
  <c r="I21" i="21"/>
  <c r="F57" i="21"/>
  <c r="I36" i="21"/>
  <c r="I34" i="21"/>
  <c r="G54" i="21"/>
  <c r="G56" i="21"/>
  <c r="D54" i="21"/>
  <c r="E23" i="21"/>
  <c r="I20" i="21"/>
  <c r="F54" i="21"/>
  <c r="H51" i="21"/>
  <c r="D51" i="21"/>
  <c r="I43" i="21"/>
  <c r="G23" i="21"/>
  <c r="I27" i="21"/>
  <c r="F51" i="21"/>
  <c r="D56" i="21"/>
  <c r="I28" i="21"/>
  <c r="I47" i="21"/>
  <c r="I35" i="21"/>
  <c r="H55" i="21"/>
  <c r="I19" i="21"/>
  <c r="G55" i="21"/>
  <c r="I22" i="21"/>
  <c r="I48" i="21"/>
  <c r="I40" i="21"/>
  <c r="E30" i="21"/>
  <c r="E57" i="21"/>
  <c r="D23" i="21"/>
  <c r="H54" i="21"/>
  <c r="F37" i="21"/>
  <c r="F44" i="21"/>
  <c r="I42" i="21"/>
  <c r="E51" i="21"/>
  <c r="I49" i="21"/>
  <c r="E44" i="21"/>
  <c r="I41" i="21"/>
  <c r="D44" i="21"/>
  <c r="D30" i="21"/>
  <c r="I26" i="21"/>
  <c r="H59" i="21" l="1"/>
  <c r="G59" i="21"/>
  <c r="F59" i="21"/>
  <c r="E59" i="21"/>
  <c r="I37" i="21"/>
  <c r="I55" i="21"/>
  <c r="D59" i="21"/>
  <c r="I57" i="21"/>
  <c r="I56" i="21"/>
  <c r="I30" i="21"/>
  <c r="I54" i="21"/>
  <c r="H69" i="21"/>
  <c r="I23" i="21"/>
  <c r="F58" i="21"/>
  <c r="G58" i="21"/>
  <c r="G7" i="21" s="1"/>
  <c r="I51" i="21"/>
  <c r="H58" i="21"/>
  <c r="E58" i="21"/>
  <c r="D58" i="21"/>
  <c r="D7" i="21" s="1"/>
  <c r="I44" i="21"/>
  <c r="D69" i="21" l="1"/>
  <c r="D9" i="21" s="1"/>
  <c r="D5" i="14" s="1"/>
  <c r="I59" i="21"/>
  <c r="F7" i="21"/>
  <c r="F6" i="14" s="1"/>
  <c r="F69" i="21"/>
  <c r="E69" i="21"/>
  <c r="E7" i="21"/>
  <c r="E6" i="14" s="1"/>
  <c r="H7" i="21"/>
  <c r="H6" i="14" s="1"/>
  <c r="H9" i="21"/>
  <c r="H5" i="14" s="1"/>
  <c r="G69" i="21"/>
  <c r="I58" i="21"/>
  <c r="E7" i="14"/>
  <c r="D6" i="14"/>
  <c r="G6" i="14"/>
  <c r="B7" i="21"/>
  <c r="E9" i="21" l="1"/>
  <c r="E5" i="14" s="1"/>
  <c r="G9" i="21"/>
  <c r="G5" i="14" s="1"/>
  <c r="F9" i="21"/>
  <c r="F5" i="14" s="1"/>
  <c r="E11" i="14"/>
  <c r="H11" i="14"/>
  <c r="H12" i="14" s="1"/>
  <c r="E13" i="19" s="1"/>
  <c r="H31" i="19" s="1"/>
  <c r="G11" i="14"/>
  <c r="F11" i="14"/>
  <c r="D11" i="14"/>
  <c r="C23" i="19" s="1"/>
  <c r="L29" i="19" s="1"/>
  <c r="D7" i="14"/>
  <c r="G7" i="14"/>
  <c r="F7" i="14"/>
  <c r="F23" i="19" l="1"/>
  <c r="L32" i="19" s="1"/>
  <c r="D23" i="19"/>
  <c r="L30" i="19" s="1"/>
  <c r="E23" i="19"/>
  <c r="L31" i="19" s="1"/>
  <c r="G23" i="19"/>
  <c r="L33" i="19" s="1"/>
  <c r="E12" i="14"/>
  <c r="D13" i="19" s="1"/>
  <c r="H30" i="19" s="1"/>
  <c r="F12" i="14"/>
  <c r="F13" i="19" s="1"/>
  <c r="H32" i="19" s="1"/>
  <c r="G12" i="14"/>
  <c r="G13" i="19" s="1"/>
  <c r="H33" i="19" s="1"/>
  <c r="G13" i="14" l="1"/>
  <c r="G14" i="19" s="1"/>
  <c r="I33" i="19" s="1"/>
  <c r="E13" i="14"/>
  <c r="D14" i="19" s="1"/>
  <c r="I30" i="19" s="1"/>
  <c r="F13" i="14"/>
  <c r="F14" i="19" s="1"/>
  <c r="I32" i="19" s="1"/>
  <c r="D12" i="14"/>
  <c r="C13" i="19" s="1"/>
  <c r="H29" i="19" s="1"/>
  <c r="D13" i="14"/>
  <c r="C14" i="19" s="1"/>
  <c r="I29" i="19" s="1"/>
  <c r="H13" i="14" l="1"/>
  <c r="E14" i="19" s="1"/>
  <c r="I31" i="19" s="1"/>
</calcChain>
</file>

<file path=xl/sharedStrings.xml><?xml version="1.0" encoding="utf-8"?>
<sst xmlns="http://schemas.openxmlformats.org/spreadsheetml/2006/main" count="325" uniqueCount="114">
  <si>
    <t>Classification</t>
  </si>
  <si>
    <t>Urban</t>
  </si>
  <si>
    <t>R</t>
  </si>
  <si>
    <t>Beta</t>
  </si>
  <si>
    <t>Average smoothed revenue requirement</t>
  </si>
  <si>
    <t>Average unplanned SAIFI target</t>
  </si>
  <si>
    <t>Average unplanned SAIDI target</t>
  </si>
  <si>
    <t>CPI</t>
  </si>
  <si>
    <t>Network weighting from table 1 (page 12 of the STPIS guidelines)</t>
  </si>
  <si>
    <t>SAIFI</t>
  </si>
  <si>
    <t>SAIDI</t>
  </si>
  <si>
    <t>2018/19</t>
  </si>
  <si>
    <t>2019/20</t>
  </si>
  <si>
    <t>2020/21</t>
  </si>
  <si>
    <t>2021/22</t>
  </si>
  <si>
    <t>Inflation adjustment to 2024/25</t>
  </si>
  <si>
    <t>2022/23</t>
  </si>
  <si>
    <t>Revenue proposal</t>
  </si>
  <si>
    <t>Draft decision</t>
  </si>
  <si>
    <t>Final decision</t>
  </si>
  <si>
    <t>Adjsutments</t>
  </si>
  <si>
    <t>Decision</t>
  </si>
  <si>
    <t>AER Draft Decision STPIS for 2024-29</t>
  </si>
  <si>
    <t>Revenue at Risk</t>
  </si>
  <si>
    <t>Feeders classifications</t>
  </si>
  <si>
    <t>Customer service parameter</t>
  </si>
  <si>
    <t>STPIS Targets and incentive rates</t>
  </si>
  <si>
    <t>Not applied due to CSIS</t>
  </si>
  <si>
    <r>
      <t>VCR</t>
    </r>
    <r>
      <rPr>
        <vertAlign val="subscript"/>
        <sz val="8"/>
        <color theme="1"/>
        <rFont val="Arial"/>
        <family val="2"/>
      </rPr>
      <t>n</t>
    </r>
  </si>
  <si>
    <r>
      <t>C</t>
    </r>
    <r>
      <rPr>
        <vertAlign val="subscript"/>
        <sz val="8"/>
        <color theme="1"/>
        <rFont val="Arial"/>
        <family val="2"/>
      </rPr>
      <t>n</t>
    </r>
  </si>
  <si>
    <r>
      <t>SAIFI</t>
    </r>
    <r>
      <rPr>
        <vertAlign val="subscript"/>
        <sz val="8"/>
        <color theme="1"/>
        <rFont val="Arial"/>
        <family val="2"/>
      </rPr>
      <t>n</t>
    </r>
  </si>
  <si>
    <r>
      <t>SAIDI</t>
    </r>
    <r>
      <rPr>
        <vertAlign val="subscript"/>
        <sz val="8"/>
        <color theme="1"/>
        <rFont val="Arial"/>
        <family val="2"/>
      </rPr>
      <t>n</t>
    </r>
  </si>
  <si>
    <r>
      <t>w</t>
    </r>
    <r>
      <rPr>
        <vertAlign val="subscript"/>
        <sz val="8"/>
        <color theme="1"/>
        <rFont val="Arial"/>
        <family val="2"/>
      </rPr>
      <t>n</t>
    </r>
  </si>
  <si>
    <t>Incentive rates calculation</t>
  </si>
  <si>
    <t>SAIDI Incentive rates</t>
  </si>
  <si>
    <t>SAIFI Incentive rates</t>
  </si>
  <si>
    <t>± 4.5 %</t>
  </si>
  <si>
    <t>Electricity Distribution Network Service Provider</t>
  </si>
  <si>
    <t>Service Target Performance Incentive Scheme</t>
  </si>
  <si>
    <t>VCR</t>
  </si>
  <si>
    <t>Inputs</t>
  </si>
  <si>
    <t>ABS</t>
  </si>
  <si>
    <t>Historical STPIS performance and adjustments</t>
  </si>
  <si>
    <t>Log normal</t>
  </si>
  <si>
    <t>2024-29</t>
  </si>
  <si>
    <t>TasNetworks</t>
  </si>
  <si>
    <t>Critical infrastructure</t>
  </si>
  <si>
    <t>High density commercial</t>
  </si>
  <si>
    <t>High density rural</t>
  </si>
  <si>
    <t>Low density rural</t>
  </si>
  <si>
    <t>Critical Infrastructure</t>
  </si>
  <si>
    <t>High Density Commercial</t>
  </si>
  <si>
    <t>High Density Rural</t>
  </si>
  <si>
    <t>Low Density Rural</t>
  </si>
  <si>
    <t xml:space="preserve">Total </t>
  </si>
  <si>
    <t>Energy consumption (MWh)</t>
  </si>
  <si>
    <t>Agriculture</t>
  </si>
  <si>
    <t xml:space="preserve">Commecial </t>
  </si>
  <si>
    <t>Industrial</t>
  </si>
  <si>
    <t>Residential</t>
  </si>
  <si>
    <t>Source: TAS RP TN-STPIS Model - Reliability of Supply</t>
  </si>
  <si>
    <t>Source: AER calculation</t>
  </si>
  <si>
    <t>check</t>
  </si>
  <si>
    <t>2024-25</t>
  </si>
  <si>
    <t>2025-26</t>
  </si>
  <si>
    <t>2026-27</t>
  </si>
  <si>
    <t>2027-28</t>
  </si>
  <si>
    <t>2028-29</t>
  </si>
  <si>
    <t>Average consumption for 2024-2029</t>
  </si>
  <si>
    <t>Sector</t>
  </si>
  <si>
    <t>$/MWh</t>
  </si>
  <si>
    <t>Commercial</t>
  </si>
  <si>
    <t>VCR AER</t>
  </si>
  <si>
    <t>TAS VCR $</t>
  </si>
  <si>
    <t>Recast to STPIS 2.0</t>
  </si>
  <si>
    <t>Source:</t>
  </si>
  <si>
    <t>TasNetworks (D)-IR010-Distribution STPIS Incentive rates-20230320-Public.xlsx</t>
  </si>
  <si>
    <t>https://www.abs.gov.au/statistics/economy/price-indexes-and-inflation/consumer-price-index-australia/latest-release#data-downloads.      TABLES 1 and 2. CPI</t>
  </si>
  <si>
    <t>https://www.aer.gov.au/networks-pipelines/guidelines-schemes-models-reviews/values-of-customer-reliability/update-0/AER - Annual update - VCR review final decision - Appendices A to E - December 2022 </t>
  </si>
  <si>
    <t>Value of Customer Reliability (VCR) for TAS</t>
  </si>
  <si>
    <t>Source: AER VCR, December 2022</t>
  </si>
  <si>
    <t>STPIS Incentive rates for FY2024-29 period</t>
  </si>
  <si>
    <t>STPIS performance targets for the 2024-29 period</t>
  </si>
  <si>
    <t>Value of customer reliablity ($/MWh)</t>
  </si>
  <si>
    <t>SAIDI (minutes)</t>
  </si>
  <si>
    <t>SAIFI (interruptions)</t>
  </si>
  <si>
    <t>Changelog (to detail completion of inputs, and any changes to inputs)</t>
  </si>
  <si>
    <t>Version</t>
  </si>
  <si>
    <t>Cell range</t>
  </si>
  <si>
    <t>Description</t>
  </si>
  <si>
    <t>v1.01</t>
  </si>
  <si>
    <t>Changed format of decision tables tab</t>
  </si>
  <si>
    <t>We used TasNetworks data for this decision because it is transitioning to STPIS and historical data os required to be recast.</t>
  </si>
  <si>
    <t>a Values based on AER 2019 VCR report, escalated to July 2022 using December 2022 CPI Index</t>
  </si>
  <si>
    <t>Incentive rate attributes</t>
  </si>
  <si>
    <t>Average annual energy consumption by network feeders type</t>
  </si>
  <si>
    <t>Contents</t>
  </si>
  <si>
    <t>Output | Decision tables</t>
  </si>
  <si>
    <t>STPIS inputs</t>
  </si>
  <si>
    <t>Annual performance and targets</t>
  </si>
  <si>
    <t>Incentive rates calculations</t>
  </si>
  <si>
    <t>Change log</t>
  </si>
  <si>
    <t>Provides output including incentive rates, targets and VCR by feeders type</t>
  </si>
  <si>
    <t>Inputs average smoothed revenus, average annual energy consumptions, CPI and network feeders type</t>
  </si>
  <si>
    <t>Calculates incentive rates by STPIS paramteres and network feeder types</t>
  </si>
  <si>
    <t>Calculates targets based on historical performance and adjusment by STPIS paramteres and network feeder types</t>
  </si>
  <si>
    <t>Provides log of updates made to the model template (rather than changes between preliminary and final model submissions)</t>
  </si>
  <si>
    <r>
      <rPr>
        <i/>
        <sz val="10"/>
        <rFont val="Arial"/>
        <family val="2"/>
      </rPr>
      <t>ir -</t>
    </r>
    <r>
      <rPr>
        <sz val="10"/>
        <rFont val="Arial"/>
        <family val="2"/>
      </rPr>
      <t xml:space="preserve"> SAIDI</t>
    </r>
  </si>
  <si>
    <r>
      <rPr>
        <i/>
        <sz val="10"/>
        <rFont val="Arial"/>
        <family val="2"/>
      </rPr>
      <t xml:space="preserve">ir - </t>
    </r>
    <r>
      <rPr>
        <sz val="10"/>
        <rFont val="Arial"/>
        <family val="2"/>
      </rPr>
      <t>SAIFI</t>
    </r>
  </si>
  <si>
    <t>Network feeders type</t>
  </si>
  <si>
    <t xml:space="preserve">Table 10-1 reliability targets </t>
  </si>
  <si>
    <t xml:space="preserve">Table 10-2 incentive rates </t>
  </si>
  <si>
    <t>Table 10-3 VCR</t>
  </si>
  <si>
    <t>AER draft decision TasNetworks distribution PTRM, Revenue Summary Sheet,  Revenue Smoothing ($m Real 2023-24)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</si>
</sst>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"/>
    <numFmt numFmtId="168" formatCode="_-* #,##0.000_-;\-* #,##0.000_-;_-* &quot;-&quot;??_-;_-@_-"/>
    <numFmt numFmtId="169" formatCode="0.0000"/>
    <numFmt numFmtId="170" formatCode="_-* #,##0.0000_-;\-* #,##0.0000_-;_-* &quot;-&quot;??_-;_-@_-"/>
    <numFmt numFmtId="171" formatCode="_-* #,##0.00000000000000_-;\-* #,##0.00000000000000_-;_-* &quot;-&quot;??_-;_-@_-"/>
    <numFmt numFmtId="172" formatCode="_-* #,##0.000000000000000_-;\-* #,##0.000000000000000_-;_-* &quot;-&quot;??_-;_-@_-"/>
    <numFmt numFmtId="173" formatCode="_-* #,##0_-;\-* #,##0_-;_-* &quot;-&quot;??_-;_-@_-"/>
    <numFmt numFmtId="174" formatCode="_(* #,##0.0_);_(* \(#,##0.0\);_(* &quot;-&quot;??_);_(@_)"/>
    <numFmt numFmtId="175" formatCode="_-* #,##0.0_-;\-* #,##0.0_-;_-* &quot;-&quot;??_-;_-@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6"/>
      <color rgb="FFFFFFFF"/>
      <name val="Arial"/>
      <family val="2"/>
    </font>
    <font>
      <u/>
      <sz val="10"/>
      <color indexed="12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vertAlign val="subscript"/>
      <sz val="8"/>
      <color theme="1"/>
      <name val="Arial"/>
      <family val="2"/>
    </font>
    <font>
      <sz val="36"/>
      <name val="Arial"/>
      <family val="2"/>
    </font>
    <font>
      <sz val="26"/>
      <name val="Arial"/>
      <family val="2"/>
    </font>
    <font>
      <b/>
      <sz val="4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TimesNewRoman"/>
    </font>
    <font>
      <b/>
      <sz val="36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8"/>
      <color theme="8" tint="-0.249977111117893"/>
      <name val="Arial"/>
      <family val="2"/>
    </font>
    <font>
      <i/>
      <sz val="8"/>
      <color theme="8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0"/>
      <name val="Arial"/>
      <family val="2"/>
    </font>
    <font>
      <b/>
      <sz val="10"/>
      <color theme="1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i/>
      <sz val="12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sz val="10"/>
      <color rgb="FFFFFFF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03F5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3" borderId="2">
      <alignment vertical="center"/>
    </xf>
    <xf numFmtId="0" fontId="4" fillId="4" borderId="0">
      <alignment horizontal="left" vertical="center"/>
      <protection locked="0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8" fillId="9" borderId="0" applyNumberFormat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87">
    <xf numFmtId="0" fontId="0" fillId="0" borderId="0" xfId="0"/>
    <xf numFmtId="0" fontId="0" fillId="0" borderId="0" xfId="0"/>
    <xf numFmtId="0" fontId="6" fillId="0" borderId="0" xfId="0" applyFont="1"/>
    <xf numFmtId="0" fontId="6" fillId="0" borderId="1" xfId="0" applyFont="1" applyBorder="1"/>
    <xf numFmtId="166" fontId="6" fillId="0" borderId="0" xfId="0" applyNumberFormat="1" applyFont="1"/>
    <xf numFmtId="0" fontId="6" fillId="0" borderId="0" xfId="0" applyNumberFormat="1" applyFont="1"/>
    <xf numFmtId="171" fontId="6" fillId="0" borderId="0" xfId="0" applyNumberFormat="1" applyFont="1"/>
    <xf numFmtId="172" fontId="6" fillId="0" borderId="0" xfId="0" applyNumberFormat="1" applyFont="1"/>
    <xf numFmtId="0" fontId="8" fillId="5" borderId="1" xfId="0" applyFont="1" applyFill="1" applyBorder="1"/>
    <xf numFmtId="0" fontId="8" fillId="0" borderId="1" xfId="0" applyFont="1" applyBorder="1"/>
    <xf numFmtId="10" fontId="6" fillId="0" borderId="1" xfId="0" applyNumberFormat="1" applyFont="1" applyBorder="1" applyAlignment="1">
      <alignment horizontal="right"/>
    </xf>
    <xf numFmtId="10" fontId="6" fillId="0" borderId="1" xfId="0" applyNumberFormat="1" applyFont="1" applyBorder="1"/>
    <xf numFmtId="0" fontId="8" fillId="0" borderId="0" xfId="0" applyFont="1" applyBorder="1"/>
    <xf numFmtId="0" fontId="8" fillId="0" borderId="0" xfId="0" applyFont="1" applyFill="1" applyBorder="1"/>
    <xf numFmtId="0" fontId="8" fillId="0" borderId="0" xfId="0" applyFont="1"/>
    <xf numFmtId="0" fontId="0" fillId="6" borderId="0" xfId="0" applyFill="1"/>
    <xf numFmtId="0" fontId="2" fillId="6" borderId="0" xfId="0" applyFont="1" applyFill="1"/>
    <xf numFmtId="0" fontId="10" fillId="6" borderId="0" xfId="0" applyFont="1" applyFill="1"/>
    <xf numFmtId="0" fontId="11" fillId="0" borderId="0" xfId="0" applyFont="1" applyAlignment="1">
      <alignment vertical="center"/>
    </xf>
    <xf numFmtId="0" fontId="2" fillId="0" borderId="0" xfId="0" applyFont="1"/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0" fillId="7" borderId="3" xfId="0" applyFill="1" applyBorder="1"/>
    <xf numFmtId="0" fontId="0" fillId="7" borderId="0" xfId="0" applyFill="1"/>
    <xf numFmtId="0" fontId="0" fillId="7" borderId="4" xfId="0" applyFill="1" applyBorder="1"/>
    <xf numFmtId="0" fontId="0" fillId="8" borderId="5" xfId="0" applyFill="1" applyBorder="1"/>
    <xf numFmtId="0" fontId="2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14" fillId="0" borderId="4" xfId="0" applyFont="1" applyBorder="1"/>
    <xf numFmtId="0" fontId="14" fillId="0" borderId="3" xfId="0" applyFont="1" applyBorder="1" applyAlignment="1">
      <alignment horizontal="left"/>
    </xf>
    <xf numFmtId="17" fontId="14" fillId="0" borderId="3" xfId="0" quotePrefix="1" applyNumberFormat="1" applyFont="1" applyBorder="1"/>
    <xf numFmtId="0" fontId="14" fillId="0" borderId="3" xfId="0" applyFont="1" applyBorder="1"/>
    <xf numFmtId="0" fontId="14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16" fillId="0" borderId="0" xfId="0" applyFont="1"/>
    <xf numFmtId="17" fontId="14" fillId="0" borderId="0" xfId="0" quotePrefix="1" applyNumberFormat="1" applyFont="1"/>
    <xf numFmtId="0" fontId="15" fillId="6" borderId="0" xfId="0" applyFont="1" applyFill="1"/>
    <xf numFmtId="0" fontId="17" fillId="7" borderId="0" xfId="0" applyFont="1" applyFill="1"/>
    <xf numFmtId="0" fontId="13" fillId="7" borderId="0" xfId="0" applyFont="1" applyFill="1"/>
    <xf numFmtId="169" fontId="6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17" fontId="6" fillId="0" borderId="1" xfId="0" applyNumberFormat="1" applyFont="1" applyBorder="1" applyAlignment="1">
      <alignment horizontal="left"/>
    </xf>
    <xf numFmtId="0" fontId="0" fillId="0" borderId="0" xfId="0" applyFont="1"/>
    <xf numFmtId="0" fontId="6" fillId="0" borderId="0" xfId="0" applyFont="1"/>
    <xf numFmtId="0" fontId="6" fillId="0" borderId="0" xfId="0" applyFont="1" applyBorder="1"/>
    <xf numFmtId="169" fontId="6" fillId="0" borderId="0" xfId="0" applyNumberFormat="1" applyFont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166" fontId="18" fillId="9" borderId="0" xfId="12" applyNumberFormat="1" applyFont="1"/>
    <xf numFmtId="0" fontId="8" fillId="0" borderId="10" xfId="0" applyFont="1" applyBorder="1"/>
    <xf numFmtId="0" fontId="8" fillId="0" borderId="11" xfId="0" applyFont="1" applyBorder="1" applyAlignment="1">
      <alignment horizontal="center" vertical="center"/>
    </xf>
    <xf numFmtId="0" fontId="20" fillId="0" borderId="0" xfId="0" applyFont="1" applyAlignment="1">
      <alignment horizontal="left" indent="1"/>
    </xf>
    <xf numFmtId="174" fontId="14" fillId="10" borderId="1" xfId="14" applyNumberFormat="1" applyFont="1" applyFill="1" applyBorder="1" applyAlignment="1">
      <alignment horizontal="right"/>
    </xf>
    <xf numFmtId="174" fontId="14" fillId="10" borderId="0" xfId="14" applyNumberFormat="1" applyFont="1" applyFill="1" applyBorder="1" applyAlignment="1">
      <alignment horizontal="right"/>
    </xf>
    <xf numFmtId="174" fontId="8" fillId="0" borderId="10" xfId="0" applyNumberFormat="1" applyFont="1" applyBorder="1"/>
    <xf numFmtId="174" fontId="0" fillId="0" borderId="0" xfId="0" applyNumberFormat="1" applyFont="1"/>
    <xf numFmtId="0" fontId="6" fillId="0" borderId="0" xfId="0" applyFont="1" applyAlignment="1">
      <alignment vertical="center"/>
    </xf>
    <xf numFmtId="0" fontId="8" fillId="12" borderId="1" xfId="0" applyFont="1" applyFill="1" applyBorder="1" applyAlignment="1">
      <alignment horizontal="left"/>
    </xf>
    <xf numFmtId="166" fontId="8" fillId="12" borderId="1" xfId="1" applyNumberFormat="1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7" borderId="5" xfId="9" applyFont="1" applyFill="1" applyBorder="1"/>
    <xf numFmtId="0" fontId="22" fillId="7" borderId="5" xfId="9" applyFont="1" applyFill="1" applyBorder="1" applyAlignment="1">
      <alignment vertical="center"/>
    </xf>
    <xf numFmtId="173" fontId="23" fillId="0" borderId="0" xfId="9" applyNumberFormat="1" applyFont="1"/>
    <xf numFmtId="173" fontId="14" fillId="0" borderId="0" xfId="17" applyNumberFormat="1" applyFont="1" applyAlignment="1" applyProtection="1"/>
    <xf numFmtId="173" fontId="24" fillId="0" borderId="0" xfId="9" applyNumberFormat="1" applyFont="1"/>
    <xf numFmtId="175" fontId="24" fillId="0" borderId="0" xfId="9" applyNumberFormat="1" applyFont="1"/>
    <xf numFmtId="0" fontId="24" fillId="0" borderId="0" xfId="9" applyFont="1"/>
    <xf numFmtId="0" fontId="24" fillId="0" borderId="0" xfId="9" applyFont="1" applyAlignment="1">
      <alignment wrapText="1"/>
    </xf>
    <xf numFmtId="173" fontId="25" fillId="0" borderId="4" xfId="17" applyNumberFormat="1" applyFont="1" applyBorder="1" applyAlignment="1" applyProtection="1"/>
    <xf numFmtId="173" fontId="26" fillId="0" borderId="4" xfId="9" applyNumberFormat="1" applyFont="1" applyBorder="1"/>
    <xf numFmtId="173" fontId="24" fillId="0" borderId="4" xfId="9" applyNumberFormat="1" applyFont="1" applyBorder="1"/>
    <xf numFmtId="175" fontId="24" fillId="0" borderId="4" xfId="9" applyNumberFormat="1" applyFont="1" applyBorder="1"/>
    <xf numFmtId="0" fontId="24" fillId="0" borderId="4" xfId="9" applyFont="1" applyBorder="1"/>
    <xf numFmtId="0" fontId="27" fillId="7" borderId="0" xfId="9" applyFont="1" applyFill="1"/>
    <xf numFmtId="0" fontId="8" fillId="7" borderId="0" xfId="9" applyFont="1" applyFill="1"/>
    <xf numFmtId="0" fontId="6" fillId="0" borderId="1" xfId="0" applyFont="1" applyBorder="1" applyAlignment="1">
      <alignment horizontal="right" vertical="center"/>
    </xf>
    <xf numFmtId="0" fontId="8" fillId="0" borderId="5" xfId="0" applyFont="1" applyBorder="1"/>
    <xf numFmtId="0" fontId="6" fillId="0" borderId="5" xfId="0" applyFont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2" fillId="7" borderId="5" xfId="9" applyFill="1" applyBorder="1" applyAlignment="1">
      <alignment vertical="center"/>
    </xf>
    <xf numFmtId="0" fontId="8" fillId="7" borderId="5" xfId="9" applyFont="1" applyFill="1" applyBorder="1" applyAlignment="1">
      <alignment vertical="center"/>
    </xf>
    <xf numFmtId="0" fontId="2" fillId="7" borderId="5" xfId="9" applyFill="1" applyBorder="1" applyAlignment="1">
      <alignment vertical="center" wrapText="1"/>
    </xf>
    <xf numFmtId="165" fontId="22" fillId="7" borderId="5" xfId="9" applyNumberFormat="1" applyFont="1" applyFill="1" applyBorder="1" applyAlignment="1">
      <alignment horizontal="center" vertical="center" wrapText="1"/>
    </xf>
    <xf numFmtId="0" fontId="2" fillId="6" borderId="0" xfId="9" applyFill="1" applyAlignment="1">
      <alignment vertical="center" wrapText="1"/>
    </xf>
    <xf numFmtId="0" fontId="2" fillId="6" borderId="0" xfId="9" applyFill="1" applyAlignment="1">
      <alignment vertical="center"/>
    </xf>
    <xf numFmtId="0" fontId="2" fillId="0" borderId="0" xfId="9" applyAlignment="1">
      <alignment vertical="center"/>
    </xf>
    <xf numFmtId="0" fontId="28" fillId="0" borderId="0" xfId="0" applyFont="1"/>
    <xf numFmtId="10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174" fontId="8" fillId="0" borderId="10" xfId="0" applyNumberFormat="1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10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4" fontId="6" fillId="0" borderId="10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10" fontId="6" fillId="0" borderId="1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64" fontId="6" fillId="0" borderId="1" xfId="2" applyNumberFormat="1" applyFont="1" applyBorder="1" applyAlignment="1">
      <alignment horizontal="center" vertical="center"/>
    </xf>
    <xf numFmtId="0" fontId="7" fillId="10" borderId="1" xfId="0" applyFont="1" applyFill="1" applyBorder="1" applyAlignment="1" applyProtection="1">
      <alignment vertical="center"/>
      <protection locked="0"/>
    </xf>
    <xf numFmtId="166" fontId="8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7" fillId="7" borderId="0" xfId="9" applyFont="1" applyFill="1" applyAlignment="1">
      <alignment horizontal="center"/>
    </xf>
    <xf numFmtId="0" fontId="8" fillId="7" borderId="5" xfId="9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7" fontId="6" fillId="0" borderId="1" xfId="0" applyNumberFormat="1" applyFont="1" applyBorder="1" applyAlignment="1">
      <alignment horizontal="center" vertical="center"/>
    </xf>
    <xf numFmtId="167" fontId="8" fillId="5" borderId="1" xfId="0" applyNumberFormat="1" applyFont="1" applyFill="1" applyBorder="1" applyAlignment="1">
      <alignment horizontal="center" vertical="center"/>
    </xf>
    <xf numFmtId="167" fontId="8" fillId="5" borderId="1" xfId="0" applyNumberFormat="1" applyFont="1" applyFill="1" applyBorder="1" applyAlignment="1">
      <alignment horizontal="center"/>
    </xf>
    <xf numFmtId="168" fontId="8" fillId="5" borderId="1" xfId="1" applyNumberFormat="1" applyFont="1" applyFill="1" applyBorder="1" applyAlignment="1">
      <alignment horizontal="center" vertical="center"/>
    </xf>
    <xf numFmtId="168" fontId="6" fillId="0" borderId="1" xfId="1" applyNumberFormat="1" applyFont="1" applyBorder="1" applyAlignment="1">
      <alignment horizontal="center" vertical="center"/>
    </xf>
    <xf numFmtId="166" fontId="6" fillId="0" borderId="0" xfId="1" applyNumberFormat="1" applyFont="1" applyAlignment="1">
      <alignment horizontal="center"/>
    </xf>
    <xf numFmtId="0" fontId="27" fillId="7" borderId="0" xfId="9" applyFont="1" applyFill="1" applyAlignment="1">
      <alignment vertical="center"/>
    </xf>
    <xf numFmtId="0" fontId="27" fillId="7" borderId="0" xfId="9" applyFont="1" applyFill="1" applyAlignment="1">
      <alignment horizontal="center" vertical="center"/>
    </xf>
    <xf numFmtId="166" fontId="6" fillId="0" borderId="1" xfId="1" applyNumberFormat="1" applyFont="1" applyBorder="1" applyAlignment="1">
      <alignment horizontal="right" vertical="center"/>
    </xf>
    <xf numFmtId="173" fontId="6" fillId="0" borderId="1" xfId="1" applyNumberFormat="1" applyFont="1" applyBorder="1" applyAlignment="1">
      <alignment horizontal="right" vertical="center"/>
    </xf>
    <xf numFmtId="166" fontId="6" fillId="0" borderId="1" xfId="2" applyNumberFormat="1" applyFont="1" applyBorder="1" applyAlignment="1">
      <alignment horizontal="right" vertical="center"/>
    </xf>
    <xf numFmtId="170" fontId="6" fillId="0" borderId="1" xfId="0" applyNumberFormat="1" applyFont="1" applyBorder="1" applyAlignment="1">
      <alignment horizontal="right" vertical="center"/>
    </xf>
    <xf numFmtId="169" fontId="6" fillId="0" borderId="1" xfId="11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indent="1"/>
    </xf>
    <xf numFmtId="166" fontId="6" fillId="0" borderId="0" xfId="0" applyNumberFormat="1" applyFont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166" fontId="8" fillId="2" borderId="1" xfId="1" applyNumberFormat="1" applyFont="1" applyFill="1" applyBorder="1" applyAlignment="1">
      <alignment horizontal="left" vertical="center"/>
    </xf>
    <xf numFmtId="0" fontId="2" fillId="7" borderId="5" xfId="9" applyFill="1" applyBorder="1" applyAlignment="1">
      <alignment horizontal="center" vertical="center"/>
    </xf>
    <xf numFmtId="0" fontId="22" fillId="7" borderId="5" xfId="9" applyFont="1" applyFill="1" applyBorder="1" applyAlignment="1">
      <alignment horizontal="center" vertical="center"/>
    </xf>
    <xf numFmtId="0" fontId="2" fillId="7" borderId="5" xfId="9" applyFill="1" applyBorder="1" applyAlignment="1">
      <alignment horizontal="center" vertical="center" wrapText="1"/>
    </xf>
    <xf numFmtId="0" fontId="2" fillId="6" borderId="0" xfId="9" applyFill="1" applyAlignment="1">
      <alignment horizontal="center" vertical="center" wrapText="1"/>
    </xf>
    <xf numFmtId="0" fontId="2" fillId="6" borderId="0" xfId="9" applyFill="1" applyAlignment="1">
      <alignment horizontal="center" vertical="center"/>
    </xf>
    <xf numFmtId="0" fontId="2" fillId="0" borderId="0" xfId="9" applyAlignment="1">
      <alignment horizontal="center" vertical="center"/>
    </xf>
    <xf numFmtId="0" fontId="2" fillId="6" borderId="0" xfId="0" applyFont="1" applyFill="1" applyAlignment="1">
      <alignment vertical="center"/>
    </xf>
    <xf numFmtId="0" fontId="14" fillId="0" borderId="0" xfId="0" quotePrefix="1" applyFont="1" applyAlignment="1">
      <alignment horizontal="left" vertical="center"/>
    </xf>
    <xf numFmtId="17" fontId="14" fillId="0" borderId="0" xfId="0" quotePrefix="1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1" fillId="6" borderId="0" xfId="17" applyFont="1" applyFill="1" applyAlignment="1">
      <alignment vertical="center"/>
    </xf>
    <xf numFmtId="0" fontId="32" fillId="6" borderId="0" xfId="0" applyFont="1" applyFill="1"/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/>
    <xf numFmtId="0" fontId="35" fillId="0" borderId="0" xfId="0" applyFont="1" applyAlignment="1">
      <alignment horizontal="left" vertical="center" indent="1"/>
    </xf>
    <xf numFmtId="0" fontId="35" fillId="0" borderId="0" xfId="17" applyNumberFormat="1" applyFont="1" applyAlignment="1" applyProtection="1">
      <alignment horizontal="left" vertical="center" indent="1"/>
    </xf>
    <xf numFmtId="0" fontId="36" fillId="7" borderId="5" xfId="9" applyFont="1" applyFill="1" applyBorder="1" applyAlignment="1">
      <alignment horizontal="left" vertical="center" indent="1"/>
    </xf>
    <xf numFmtId="0" fontId="33" fillId="6" borderId="0" xfId="0" applyFont="1" applyFill="1"/>
    <xf numFmtId="0" fontId="30" fillId="0" borderId="1" xfId="0" applyFont="1" applyBorder="1" applyAlignment="1">
      <alignment horizontal="left" vertical="center" indent="1"/>
    </xf>
    <xf numFmtId="10" fontId="37" fillId="0" borderId="1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2" fontId="37" fillId="0" borderId="1" xfId="0" applyNumberFormat="1" applyFont="1" applyBorder="1" applyAlignment="1">
      <alignment horizontal="center" vertical="center"/>
    </xf>
    <xf numFmtId="0" fontId="37" fillId="0" borderId="0" xfId="0" applyFont="1" applyAlignment="1">
      <alignment horizontal="right" vertical="center"/>
    </xf>
    <xf numFmtId="10" fontId="37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0" fillId="7" borderId="0" xfId="9" applyFont="1" applyFill="1" applyAlignment="1">
      <alignment vertical="center"/>
    </xf>
    <xf numFmtId="10" fontId="30" fillId="7" borderId="0" xfId="9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indent="1"/>
    </xf>
    <xf numFmtId="0" fontId="37" fillId="0" borderId="1" xfId="0" applyFont="1" applyBorder="1" applyAlignment="1">
      <alignment horizontal="right" vertical="center"/>
    </xf>
    <xf numFmtId="169" fontId="37" fillId="0" borderId="1" xfId="0" applyNumberFormat="1" applyFont="1" applyBorder="1" applyAlignment="1">
      <alignment horizontal="right" vertical="center"/>
    </xf>
    <xf numFmtId="0" fontId="37" fillId="0" borderId="0" xfId="0" applyFont="1"/>
    <xf numFmtId="0" fontId="38" fillId="0" borderId="0" xfId="0" applyFont="1" applyAlignment="1">
      <alignment horizontal="right" vertical="center"/>
    </xf>
    <xf numFmtId="0" fontId="37" fillId="0" borderId="1" xfId="0" applyFont="1" applyFill="1" applyBorder="1" applyAlignment="1">
      <alignment horizontal="left" vertical="center" indent="1"/>
    </xf>
    <xf numFmtId="170" fontId="37" fillId="0" borderId="1" xfId="1" applyNumberFormat="1" applyFont="1" applyBorder="1" applyAlignment="1">
      <alignment horizontal="right" vertical="center"/>
    </xf>
    <xf numFmtId="0" fontId="37" fillId="0" borderId="1" xfId="0" applyFont="1" applyBorder="1" applyAlignment="1">
      <alignment horizontal="left" vertical="center" indent="2"/>
    </xf>
    <xf numFmtId="173" fontId="37" fillId="0" borderId="1" xfId="0" applyNumberFormat="1" applyFont="1" applyBorder="1" applyAlignment="1">
      <alignment horizontal="right" vertical="center"/>
    </xf>
    <xf numFmtId="0" fontId="40" fillId="13" borderId="12" xfId="0" applyFont="1" applyFill="1" applyBorder="1" applyAlignment="1">
      <alignment vertical="center" wrapText="1"/>
    </xf>
    <xf numFmtId="0" fontId="40" fillId="13" borderId="13" xfId="0" applyFont="1" applyFill="1" applyBorder="1" applyAlignment="1">
      <alignment vertical="center" wrapText="1"/>
    </xf>
    <xf numFmtId="0" fontId="37" fillId="0" borderId="14" xfId="0" applyFont="1" applyBorder="1" applyAlignment="1">
      <alignment vertical="center" wrapText="1"/>
    </xf>
    <xf numFmtId="170" fontId="37" fillId="0" borderId="15" xfId="0" applyNumberFormat="1" applyFont="1" applyBorder="1" applyAlignment="1">
      <alignment vertical="center" wrapText="1"/>
    </xf>
    <xf numFmtId="173" fontId="37" fillId="0" borderId="15" xfId="0" applyNumberFormat="1" applyFont="1" applyBorder="1" applyAlignment="1">
      <alignment vertical="center" wrapText="1"/>
    </xf>
    <xf numFmtId="173" fontId="6" fillId="0" borderId="1" xfId="0" applyNumberFormat="1" applyFont="1" applyBorder="1" applyAlignment="1">
      <alignment horizontal="right" vertical="center"/>
    </xf>
    <xf numFmtId="166" fontId="6" fillId="0" borderId="0" xfId="0" applyNumberFormat="1" applyFont="1" applyAlignment="1">
      <alignment horizontal="right"/>
    </xf>
    <xf numFmtId="0" fontId="6" fillId="10" borderId="0" xfId="0" applyFont="1" applyFill="1"/>
    <xf numFmtId="0" fontId="28" fillId="10" borderId="8" xfId="0" applyFont="1" applyFill="1" applyBorder="1" applyAlignment="1">
      <alignment vertical="center"/>
    </xf>
    <xf numFmtId="0" fontId="6" fillId="10" borderId="0" xfId="0" applyFont="1" applyFill="1" applyAlignment="1">
      <alignment horizontal="right"/>
    </xf>
    <xf numFmtId="0" fontId="28" fillId="10" borderId="0" xfId="0" applyFont="1" applyFill="1" applyAlignment="1">
      <alignment horizontal="left" indent="1"/>
    </xf>
    <xf numFmtId="0" fontId="28" fillId="10" borderId="0" xfId="0" applyFont="1" applyFill="1"/>
    <xf numFmtId="0" fontId="19" fillId="11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</cellXfs>
  <cellStyles count="18">
    <cellStyle name="Comma" xfId="1" builtinId="3"/>
    <cellStyle name="Comma 2" xfId="3" xr:uid="{00000000-0005-0000-0000-000002000000}"/>
    <cellStyle name="Comma 2 2" xfId="14" xr:uid="{B9DB3AF7-B1B2-4447-8298-4438E77E23E5}"/>
    <cellStyle name="Comma 3" xfId="5" xr:uid="{00000000-0005-0000-0000-000003000000}"/>
    <cellStyle name="Comma 4" xfId="13" xr:uid="{C2045D86-1033-498A-BFBE-4FB6C0F6B82A}"/>
    <cellStyle name="Currency" xfId="2" builtinId="4"/>
    <cellStyle name="Currency 2" xfId="4" xr:uid="{00000000-0005-0000-0000-000005000000}"/>
    <cellStyle name="Currency 2 2" xfId="16" xr:uid="{A3C21F23-345E-4895-AA87-6AD9661EAE35}"/>
    <cellStyle name="Currency 3" xfId="6" xr:uid="{00000000-0005-0000-0000-000006000000}"/>
    <cellStyle name="Currency 4" xfId="15" xr:uid="{F3A7320D-07F4-4B01-AFDA-DF3E07E890C3}"/>
    <cellStyle name="dms_1" xfId="7" xr:uid="{00000000-0005-0000-0000-000007000000}"/>
    <cellStyle name="Good" xfId="12" builtinId="26"/>
    <cellStyle name="Hyperlink" xfId="17" builtinId="8"/>
    <cellStyle name="Hyperlink 2" xfId="10" xr:uid="{00000000-0005-0000-0000-000009000000}"/>
    <cellStyle name="Normal" xfId="0" builtinId="0"/>
    <cellStyle name="Normal 2" xfId="9" xr:uid="{00000000-0005-0000-0000-00000B000000}"/>
    <cellStyle name="Percent" xfId="11" builtinId="5"/>
    <cellStyle name="RIN_TB2" xfId="8" xr:uid="{00000000-0005-0000-0000-00000D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22414</xdr:colOff>
      <xdr:row>5</xdr:row>
      <xdr:rowOff>145677</xdr:rowOff>
    </xdr:from>
    <xdr:to>
      <xdr:col>6</xdr:col>
      <xdr:colOff>0</xdr:colOff>
      <xdr:row>9</xdr:row>
      <xdr:rowOff>9360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FDD9A3E-11DA-4213-874F-580BE3D66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057" y="1560820"/>
          <a:ext cx="2535729" cy="1169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484271</xdr:colOff>
      <xdr:row>21</xdr:row>
      <xdr:rowOff>115051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EB3A9AF-AD48-4AB1-94CE-F9A8497DCD82}"/>
            </a:ext>
          </a:extLst>
        </xdr:cNvPr>
        <xdr:cNvSpPr txBox="1"/>
      </xdr:nvSpPr>
      <xdr:spPr>
        <a:xfrm>
          <a:off x="1092406" y="379316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440310</xdr:colOff>
      <xdr:row>21</xdr:row>
      <xdr:rowOff>246936</xdr:rowOff>
    </xdr:from>
    <xdr:ext cx="214418" cy="3392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4895A2C7-E504-4D41-91AF-BF8BB77F331B}"/>
                </a:ext>
              </a:extLst>
            </xdr:cNvPr>
            <xdr:cNvSpPr txBox="1"/>
          </xdr:nvSpPr>
          <xdr:spPr>
            <a:xfrm>
              <a:off x="1048445" y="3925051"/>
              <a:ext cx="214418" cy="3392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p/>
                    </m:sSup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4895A2C7-E504-4D41-91AF-BF8BB77F331B}"/>
                </a:ext>
              </a:extLst>
            </xdr:cNvPr>
            <xdr:cNvSpPr txBox="1"/>
          </xdr:nvSpPr>
          <xdr:spPr>
            <a:xfrm>
              <a:off x="1048445" y="3925051"/>
              <a:ext cx="214418" cy="3392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𝑎^</a:t>
              </a:r>
              <a:endParaRPr lang="en-AU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31374</xdr:colOff>
      <xdr:row>3</xdr:row>
      <xdr:rowOff>11206</xdr:rowOff>
    </xdr:from>
    <xdr:to>
      <xdr:col>15</xdr:col>
      <xdr:colOff>190499</xdr:colOff>
      <xdr:row>35</xdr:row>
      <xdr:rowOff>50303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B4A697-0F48-34F1-C1BA-2BD7F90D8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78668" y="504265"/>
          <a:ext cx="3789831" cy="5485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er.gov.au/system/files/AER%20-%20Annual%20update%20-%20VCR%20review%20final%20decision%20-%20Appendices%20A%20to%20E%20-%20December%202022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B215-1727-4D99-95E3-812EBC62DFF7}">
  <dimension ref="A1:AJ32"/>
  <sheetViews>
    <sheetView showGridLines="0" tabSelected="1" zoomScale="70" zoomScaleNormal="70" workbookViewId="0">
      <selection activeCell="I27" sqref="I27"/>
    </sheetView>
  </sheetViews>
  <sheetFormatPr defaultColWidth="8.81640625" defaultRowHeight="14.5"/>
  <cols>
    <col min="1" max="4" width="9.1796875" style="1" customWidth="1"/>
    <col min="5" max="5" width="11.1796875" style="1" customWidth="1"/>
    <col min="6" max="7" width="8.81640625" style="1"/>
    <col min="8" max="8" width="7.1796875" style="1" customWidth="1"/>
    <col min="9" max="12" width="8.81640625" style="1"/>
    <col min="13" max="13" width="10.54296875" style="1" bestFit="1" customWidth="1"/>
    <col min="14" max="18" width="8.81640625" style="1"/>
    <col min="19" max="19" width="27" style="1" bestFit="1" customWidth="1"/>
    <col min="20" max="16384" width="8.81640625" style="1"/>
  </cols>
  <sheetData>
    <row r="1" spans="1:36"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36" ht="46">
      <c r="C2" s="25"/>
      <c r="D2" s="25"/>
      <c r="E2" s="25"/>
      <c r="F2" s="25"/>
      <c r="G2" s="25"/>
      <c r="H2" s="25"/>
      <c r="I2" s="25"/>
      <c r="J2" s="40" t="s">
        <v>38</v>
      </c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1:36" ht="20">
      <c r="C3" s="25"/>
      <c r="D3" s="25"/>
      <c r="E3" s="25"/>
      <c r="F3" s="25"/>
      <c r="G3" s="25"/>
      <c r="H3" s="25"/>
      <c r="I3" s="25"/>
      <c r="J3" s="41" t="s">
        <v>37</v>
      </c>
      <c r="K3" s="25"/>
      <c r="L3" s="25"/>
      <c r="M3" s="25"/>
      <c r="N3" s="25"/>
      <c r="O3" s="25"/>
      <c r="P3" s="25"/>
      <c r="Q3" s="25"/>
      <c r="R3" s="25"/>
      <c r="S3" s="41" t="s">
        <v>45</v>
      </c>
      <c r="T3" s="25"/>
      <c r="U3" s="41" t="s">
        <v>44</v>
      </c>
      <c r="V3" s="25"/>
      <c r="W3" s="25"/>
      <c r="X3" s="25"/>
      <c r="Y3" s="25"/>
      <c r="Z3" s="25"/>
      <c r="AA3" s="25"/>
    </row>
    <row r="4" spans="1:36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36"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</row>
    <row r="8" spans="1:36" ht="53">
      <c r="I8" s="20"/>
      <c r="J8" s="21"/>
    </row>
    <row r="9" spans="1:36" ht="20">
      <c r="L9" s="22"/>
      <c r="M9" s="23"/>
    </row>
    <row r="11" spans="1:36" ht="14.25" customHeight="1">
      <c r="A11" s="15"/>
      <c r="B11" s="15"/>
      <c r="C11" s="15"/>
      <c r="E11" s="16"/>
      <c r="F11" s="17"/>
      <c r="H11" s="18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pans="1:36" s="19" customFormat="1" ht="12.5">
      <c r="A12" s="16"/>
      <c r="B12" s="16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36" s="19" customFormat="1" ht="12.5">
      <c r="A13" s="16"/>
      <c r="B13" s="16"/>
      <c r="C13" s="16"/>
      <c r="D13" s="32"/>
      <c r="E13" s="33"/>
      <c r="F13" s="33"/>
      <c r="G13" s="34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36" s="19" customFormat="1" ht="12.5">
      <c r="A14" s="16"/>
      <c r="B14" s="16"/>
      <c r="C14" s="16"/>
      <c r="D14" s="35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36" s="135" customFormat="1" ht="18" customHeight="1">
      <c r="A15" s="16"/>
      <c r="B15" s="16"/>
      <c r="C15" s="151" t="s">
        <v>96</v>
      </c>
      <c r="D15" s="130"/>
      <c r="E15" s="130"/>
      <c r="F15" s="130"/>
      <c r="G15" s="130"/>
      <c r="H15" s="130"/>
      <c r="I15" s="130"/>
      <c r="J15" s="130"/>
      <c r="K15" s="130"/>
      <c r="L15" s="131"/>
      <c r="M15" s="131"/>
      <c r="N15" s="131"/>
      <c r="O15" s="131"/>
      <c r="P15" s="132"/>
      <c r="Q15" s="90"/>
      <c r="R15" s="132"/>
      <c r="S15" s="90"/>
      <c r="T15" s="132"/>
      <c r="U15" s="132"/>
      <c r="V15" s="132"/>
      <c r="W15" s="132"/>
      <c r="X15" s="132"/>
      <c r="Y15" s="132"/>
      <c r="Z15" s="132"/>
      <c r="AA15" s="132"/>
      <c r="AB15" s="19"/>
      <c r="AC15" s="19"/>
      <c r="AD15" s="133"/>
      <c r="AE15" s="133"/>
      <c r="AF15" s="133"/>
      <c r="AG15" s="133"/>
      <c r="AH15" s="133"/>
      <c r="AI15" s="134"/>
      <c r="AJ15" s="134"/>
    </row>
    <row r="16" spans="1:36" s="19" customFormat="1" ht="12.5">
      <c r="A16" s="16"/>
      <c r="B16" s="16"/>
      <c r="C16" s="16"/>
      <c r="D16" s="35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</row>
    <row r="17" spans="1:24" s="19" customFormat="1" ht="12.5">
      <c r="A17" s="16"/>
      <c r="B17" s="16"/>
      <c r="C17" s="16"/>
      <c r="D17" s="35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pans="1:24" s="19" customFormat="1" ht="15.5">
      <c r="A18" s="16"/>
      <c r="B18" s="16"/>
      <c r="C18" s="152"/>
      <c r="D18" s="35"/>
      <c r="E18" s="37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pans="1:24" s="140" customFormat="1" ht="19.5" customHeight="1">
      <c r="A19" s="136"/>
      <c r="B19" s="136"/>
      <c r="C19" s="144" t="s">
        <v>97</v>
      </c>
      <c r="D19" s="137"/>
      <c r="E19" s="138"/>
      <c r="F19" s="139"/>
      <c r="G19" s="139"/>
      <c r="H19" s="149" t="s">
        <v>102</v>
      </c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</row>
    <row r="20" spans="1:24" s="140" customFormat="1" ht="19.5" customHeight="1">
      <c r="A20" s="136"/>
      <c r="B20" s="136"/>
      <c r="C20" s="144" t="s">
        <v>98</v>
      </c>
      <c r="D20" s="141"/>
      <c r="E20" s="139"/>
      <c r="F20" s="139"/>
      <c r="G20" s="139"/>
      <c r="H20" s="149" t="s">
        <v>103</v>
      </c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</row>
    <row r="21" spans="1:24" s="140" customFormat="1" ht="19.5" customHeight="1">
      <c r="A21" s="136"/>
      <c r="B21" s="136"/>
      <c r="C21" s="144" t="s">
        <v>99</v>
      </c>
      <c r="D21" s="141"/>
      <c r="E21" s="139"/>
      <c r="F21" s="139"/>
      <c r="G21" s="139"/>
      <c r="H21" s="149" t="s">
        <v>105</v>
      </c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</row>
    <row r="22" spans="1:24" s="140" customFormat="1" ht="19.5" customHeight="1">
      <c r="A22" s="136"/>
      <c r="B22" s="136"/>
      <c r="C22" s="144" t="s">
        <v>100</v>
      </c>
      <c r="D22" s="141"/>
      <c r="E22" s="142"/>
      <c r="F22" s="139"/>
      <c r="G22" s="139"/>
      <c r="H22" s="149" t="s">
        <v>104</v>
      </c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</row>
    <row r="23" spans="1:24" s="140" customFormat="1" ht="19.5" customHeight="1">
      <c r="A23" s="136"/>
      <c r="B23" s="136"/>
      <c r="C23" s="144" t="s">
        <v>101</v>
      </c>
      <c r="D23" s="143"/>
      <c r="E23" s="143"/>
      <c r="F23" s="143"/>
      <c r="G23" s="139"/>
      <c r="H23" s="150" t="s">
        <v>106</v>
      </c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6"/>
      <c r="V23" s="146"/>
      <c r="W23" s="146"/>
      <c r="X23" s="146"/>
    </row>
    <row r="24" spans="1:24" ht="15.5">
      <c r="A24" s="15"/>
      <c r="B24" s="15"/>
      <c r="C24" s="145"/>
      <c r="D24" s="30"/>
      <c r="E24" s="30"/>
      <c r="F24" s="30"/>
      <c r="G24" s="29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</row>
    <row r="25" spans="1:24">
      <c r="A25" s="15"/>
      <c r="B25" s="15"/>
      <c r="C25" s="15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4">
      <c r="A26" s="15"/>
      <c r="B26" s="15"/>
      <c r="C26" s="15"/>
      <c r="D26" s="36"/>
      <c r="E26" s="38"/>
      <c r="F26" s="29"/>
      <c r="G26" s="29"/>
      <c r="H26" s="29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4">
      <c r="A27" s="15"/>
      <c r="B27" s="15"/>
      <c r="C27" s="15"/>
      <c r="D27" s="35"/>
      <c r="E27" s="29"/>
      <c r="F27" s="29"/>
      <c r="G27" s="29"/>
      <c r="H27" s="29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</row>
    <row r="28" spans="1:24">
      <c r="A28" s="15"/>
      <c r="B28" s="15"/>
      <c r="C28" s="15"/>
      <c r="D28" s="35"/>
      <c r="E28" s="29"/>
      <c r="F28" s="29"/>
      <c r="G28" s="29"/>
      <c r="H28" s="29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9"/>
      <c r="T28" s="39"/>
      <c r="U28" s="39"/>
      <c r="V28" s="39"/>
      <c r="W28" s="15"/>
    </row>
    <row r="29" spans="1:24"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</row>
    <row r="30" spans="1:24">
      <c r="D30" s="36"/>
      <c r="E30" s="38"/>
      <c r="F30" s="29"/>
      <c r="G30" s="29"/>
      <c r="H30" s="29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</row>
    <row r="31" spans="1:24">
      <c r="D31" s="28"/>
      <c r="E31" s="19"/>
      <c r="F31" s="19"/>
      <c r="G31" s="19"/>
      <c r="H31" s="19"/>
    </row>
    <row r="32" spans="1:24">
      <c r="D32" s="28"/>
      <c r="E32" s="19"/>
      <c r="F32" s="19"/>
      <c r="G32" s="19"/>
      <c r="H32" s="19"/>
    </row>
  </sheetData>
  <hyperlinks>
    <hyperlink ref="C19" location="'Output | Decision tables'!A1" display="Output | Decision tables" xr:uid="{FD6AC384-C5D6-40A0-B9FF-23C1FB9F4545}"/>
    <hyperlink ref="C20" location="'STPIS inputs'!A1" display="STPIS inputs" xr:uid="{3730791A-F0A0-4DE9-A8A3-1B18FDED647D}"/>
    <hyperlink ref="C21" location="'Annual performance and targets'!A1" display="Annual performance and targets" xr:uid="{83DF9629-4F48-447C-97FE-506CC2F2584C}"/>
    <hyperlink ref="C22" location="'Incentive rates calc'!A1" display="Incentive rates calculations" xr:uid="{313FC661-55AA-410E-A217-4E832F1FB119}"/>
    <hyperlink ref="C23" location="'Change log'!A1" display="Change log" xr:uid="{587C7835-C6BA-4070-B4CB-86ED6542C73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566ED-6B37-4FA9-B94A-9EFEBC037457}">
  <sheetPr>
    <tabColor theme="5" tint="-0.249977111117893"/>
  </sheetPr>
  <dimension ref="B2:L33"/>
  <sheetViews>
    <sheetView showGridLines="0" zoomScaleNormal="100" workbookViewId="0">
      <selection activeCell="B42" sqref="B42"/>
    </sheetView>
  </sheetViews>
  <sheetFormatPr defaultColWidth="9.1796875" defaultRowHeight="10"/>
  <cols>
    <col min="1" max="1" width="9.1796875" style="46"/>
    <col min="2" max="2" width="69.81640625" style="46" bestFit="1" customWidth="1"/>
    <col min="3" max="3" width="21.1796875" style="65" bestFit="1" customWidth="1"/>
    <col min="4" max="4" width="22.453125" style="65" customWidth="1"/>
    <col min="5" max="5" width="11.81640625" style="65" customWidth="1"/>
    <col min="6" max="6" width="16.1796875" style="65" customWidth="1"/>
    <col min="7" max="7" width="21.54296875" style="65" customWidth="1"/>
    <col min="8" max="8" width="11.453125" style="46" bestFit="1" customWidth="1"/>
    <col min="9" max="9" width="19.453125" style="46" customWidth="1"/>
    <col min="10" max="10" width="9.1796875" style="46"/>
    <col min="11" max="11" width="14" style="46" customWidth="1"/>
    <col min="12" max="12" width="13.81640625" style="46" customWidth="1"/>
    <col min="13" max="16384" width="9.1796875" style="46"/>
  </cols>
  <sheetData>
    <row r="2" spans="2:7" ht="15.5">
      <c r="B2" s="81" t="s">
        <v>22</v>
      </c>
      <c r="C2" s="81"/>
      <c r="D2" s="81"/>
      <c r="E2" s="81"/>
      <c r="F2" s="81"/>
      <c r="G2" s="81"/>
    </row>
    <row r="4" spans="2:7" s="61" customFormat="1" ht="15" customHeight="1">
      <c r="B4" s="153" t="s">
        <v>23</v>
      </c>
      <c r="C4" s="154" t="s">
        <v>36</v>
      </c>
      <c r="D4" s="155"/>
      <c r="E4" s="155"/>
      <c r="F4" s="155"/>
      <c r="G4" s="155"/>
    </row>
    <row r="5" spans="2:7" s="61" customFormat="1" ht="15" customHeight="1">
      <c r="B5" s="153" t="s">
        <v>3</v>
      </c>
      <c r="C5" s="156">
        <v>2.5</v>
      </c>
      <c r="D5" s="154" t="s">
        <v>43</v>
      </c>
      <c r="E5" s="157"/>
      <c r="F5" s="157"/>
      <c r="G5" s="157"/>
    </row>
    <row r="6" spans="2:7" s="61" customFormat="1" ht="13">
      <c r="B6" s="153" t="s">
        <v>24</v>
      </c>
      <c r="C6" s="158" t="s">
        <v>46</v>
      </c>
      <c r="D6" s="158" t="s">
        <v>47</v>
      </c>
      <c r="E6" s="158" t="s">
        <v>1</v>
      </c>
      <c r="F6" s="158" t="s">
        <v>48</v>
      </c>
      <c r="G6" s="158" t="s">
        <v>49</v>
      </c>
    </row>
    <row r="7" spans="2:7" s="61" customFormat="1" ht="15" customHeight="1">
      <c r="B7" s="153" t="s">
        <v>25</v>
      </c>
      <c r="C7" s="159" t="s">
        <v>27</v>
      </c>
      <c r="D7" s="155"/>
      <c r="E7" s="155"/>
      <c r="F7" s="155"/>
      <c r="G7" s="155"/>
    </row>
    <row r="8" spans="2:7" ht="10.5">
      <c r="B8" s="12"/>
      <c r="C8" s="66"/>
    </row>
    <row r="9" spans="2:7" ht="10.5">
      <c r="B9" s="82" t="s">
        <v>26</v>
      </c>
      <c r="C9" s="82"/>
      <c r="D9" s="82"/>
      <c r="E9" s="82"/>
      <c r="F9" s="82"/>
      <c r="G9" s="82"/>
    </row>
    <row r="10" spans="2:7" ht="10.5">
      <c r="B10" s="13"/>
      <c r="C10" s="67"/>
      <c r="D10" s="67"/>
    </row>
    <row r="11" spans="2:7" ht="13">
      <c r="B11" s="160" t="s">
        <v>81</v>
      </c>
      <c r="C11" s="161"/>
      <c r="D11" s="161"/>
      <c r="E11" s="155"/>
      <c r="F11" s="155"/>
      <c r="G11" s="155"/>
    </row>
    <row r="12" spans="2:7" s="61" customFormat="1" ht="13">
      <c r="B12" s="162" t="s">
        <v>0</v>
      </c>
      <c r="C12" s="163" t="str">
        <f>+C6</f>
        <v>Critical infrastructure</v>
      </c>
      <c r="D12" s="163" t="str">
        <f t="shared" ref="D12:G12" si="0">+D6</f>
        <v>High density commercial</v>
      </c>
      <c r="E12" s="163" t="str">
        <f t="shared" si="0"/>
        <v>Urban</v>
      </c>
      <c r="F12" s="163" t="str">
        <f t="shared" si="0"/>
        <v>High density rural</v>
      </c>
      <c r="G12" s="163" t="str">
        <f t="shared" si="0"/>
        <v>Low density rural</v>
      </c>
    </row>
    <row r="13" spans="2:7" ht="13">
      <c r="B13" s="164" t="s">
        <v>107</v>
      </c>
      <c r="C13" s="165">
        <f>ROUND('Incentive rates calc'!$D$12,4)</f>
        <v>2.8E-3</v>
      </c>
      <c r="D13" s="166">
        <f>'Incentive rates calc'!$E$12</f>
        <v>3.3231987107983081E-3</v>
      </c>
      <c r="E13" s="166">
        <f>'Incentive rates calc'!$H$12</f>
        <v>3.6448228064334676E-2</v>
      </c>
      <c r="F13" s="166">
        <f>'Incentive rates calc'!$F$12</f>
        <v>1.046651581792964E-2</v>
      </c>
      <c r="G13" s="166">
        <f>'Incentive rates calc'!$G$12</f>
        <v>1.81795170060568E-2</v>
      </c>
    </row>
    <row r="14" spans="2:7" ht="13">
      <c r="B14" s="164" t="s">
        <v>108</v>
      </c>
      <c r="C14" s="166">
        <f>'Incentive rates calc'!$D$13</f>
        <v>0.15506079948264584</v>
      </c>
      <c r="D14" s="166">
        <f>'Incentive rates calc'!$E$13</f>
        <v>0.2264711607053016</v>
      </c>
      <c r="E14" s="166">
        <f>'Incentive rates calc'!$H$13</f>
        <v>2.2468386720079958</v>
      </c>
      <c r="F14" s="166">
        <f>'Incentive rates calc'!$F$13</f>
        <v>0.79137709871651629</v>
      </c>
      <c r="G14" s="166">
        <f>'Incentive rates calc'!$G$13</f>
        <v>1.6551447553505638</v>
      </c>
    </row>
    <row r="15" spans="2:7" ht="12.5">
      <c r="B15" s="167"/>
      <c r="C15" s="157"/>
      <c r="D15" s="157"/>
      <c r="E15" s="157"/>
      <c r="F15" s="157"/>
      <c r="G15" s="157"/>
    </row>
    <row r="16" spans="2:7" ht="13">
      <c r="B16" s="160" t="s">
        <v>82</v>
      </c>
      <c r="C16" s="168"/>
      <c r="D16" s="168"/>
      <c r="E16" s="157"/>
      <c r="F16" s="157"/>
      <c r="G16" s="157"/>
    </row>
    <row r="17" spans="2:12" s="61" customFormat="1" ht="13">
      <c r="B17" s="162" t="s">
        <v>0</v>
      </c>
      <c r="C17" s="163" t="str">
        <f>+C6</f>
        <v>Critical infrastructure</v>
      </c>
      <c r="D17" s="163" t="str">
        <f t="shared" ref="D17:G17" si="1">+D6</f>
        <v>High density commercial</v>
      </c>
      <c r="E17" s="163" t="str">
        <f t="shared" si="1"/>
        <v>Urban</v>
      </c>
      <c r="F17" s="163" t="str">
        <f t="shared" si="1"/>
        <v>High density rural</v>
      </c>
      <c r="G17" s="163" t="str">
        <f t="shared" si="1"/>
        <v>Low density rural</v>
      </c>
    </row>
    <row r="18" spans="2:12" ht="12.5">
      <c r="B18" s="169" t="s">
        <v>84</v>
      </c>
      <c r="C18" s="170">
        <f>'Annual performance and targets'!$Q$32</f>
        <v>6.9305565310250001</v>
      </c>
      <c r="D18" s="170">
        <f>'Annual performance and targets'!$Q$33</f>
        <v>40.521587842924994</v>
      </c>
      <c r="E18" s="170">
        <f>'Annual performance and targets'!$Q$34</f>
        <v>96.35549737662501</v>
      </c>
      <c r="F18" s="170">
        <f>'Annual performance and targets'!$Q$35</f>
        <v>240.95586607572483</v>
      </c>
      <c r="G18" s="170">
        <f>'Annual performance and targets'!$Q$36</f>
        <v>389.64212185795043</v>
      </c>
    </row>
    <row r="19" spans="2:12" ht="12.5">
      <c r="B19" s="169" t="s">
        <v>85</v>
      </c>
      <c r="C19" s="170">
        <f>'Annual performance and targets'!$H$32</f>
        <v>8.3022620999999991E-2</v>
      </c>
      <c r="D19" s="170">
        <f>'Annual performance and targets'!$H$33</f>
        <v>0.39640452249999991</v>
      </c>
      <c r="E19" s="170">
        <f>'Annual performance and targets'!$H$34</f>
        <v>1.0420529037500121</v>
      </c>
      <c r="F19" s="170">
        <f>'Annual performance and targets'!$H$35</f>
        <v>2.1245399425000024</v>
      </c>
      <c r="G19" s="170">
        <f>'Annual performance and targets'!$H$36</f>
        <v>2.8531263132500113</v>
      </c>
    </row>
    <row r="20" spans="2:12" ht="12.5">
      <c r="B20" s="167"/>
      <c r="C20" s="157"/>
      <c r="D20" s="157"/>
      <c r="E20" s="157"/>
      <c r="F20" s="157"/>
      <c r="G20" s="157"/>
    </row>
    <row r="21" spans="2:12" ht="13">
      <c r="B21" s="160" t="s">
        <v>83</v>
      </c>
      <c r="C21" s="168"/>
      <c r="D21" s="168"/>
      <c r="E21" s="157"/>
      <c r="F21" s="157"/>
      <c r="G21" s="157"/>
    </row>
    <row r="22" spans="2:12" s="61" customFormat="1" ht="13">
      <c r="B22" s="162"/>
      <c r="C22" s="163" t="str">
        <f>+C6</f>
        <v>Critical infrastructure</v>
      </c>
      <c r="D22" s="163" t="str">
        <f t="shared" ref="D22:G22" si="2">+D6</f>
        <v>High density commercial</v>
      </c>
      <c r="E22" s="163" t="str">
        <f t="shared" si="2"/>
        <v>Urban</v>
      </c>
      <c r="F22" s="163" t="str">
        <f t="shared" si="2"/>
        <v>High density rural</v>
      </c>
      <c r="G22" s="163" t="str">
        <f t="shared" si="2"/>
        <v>Low density rural</v>
      </c>
    </row>
    <row r="23" spans="2:12" ht="12.5">
      <c r="B23" s="171" t="s">
        <v>39</v>
      </c>
      <c r="C23" s="172">
        <f>+'Incentive rates calc'!D$5*(1+'Incentive rates calc'!D$11)</f>
        <v>55125.599538570874</v>
      </c>
      <c r="D23" s="172">
        <f>+'Incentive rates calc'!E$5*(1+'Incentive rates calc'!E$11)</f>
        <v>54590.720345696849</v>
      </c>
      <c r="E23" s="172">
        <f>+'Incentive rates calc'!F$5*(1+'Incentive rates calc'!F$11)</f>
        <v>43614.22579074408</v>
      </c>
      <c r="F23" s="172">
        <f>+'Incentive rates calc'!G$5*(1+'Incentive rates calc'!G$11)</f>
        <v>56727.977945797546</v>
      </c>
      <c r="G23" s="172">
        <f>+'Incentive rates calc'!H$5*(1+'Incentive rates calc'!H$11)</f>
        <v>38256.408126079456</v>
      </c>
    </row>
    <row r="24" spans="2:12" ht="12.5">
      <c r="B24" s="167"/>
      <c r="C24" s="155"/>
      <c r="D24" s="155"/>
      <c r="E24" s="155"/>
      <c r="F24" s="155"/>
      <c r="G24" s="155"/>
    </row>
    <row r="25" spans="2:12">
      <c r="B25" s="94" t="s">
        <v>93</v>
      </c>
    </row>
    <row r="26" spans="2:12" ht="15.5">
      <c r="C26" s="81" t="s">
        <v>110</v>
      </c>
      <c r="D26" s="81"/>
      <c r="G26" s="81" t="s">
        <v>111</v>
      </c>
      <c r="H26" s="81"/>
      <c r="K26" s="81" t="s">
        <v>112</v>
      </c>
      <c r="L26" s="81"/>
    </row>
    <row r="27" spans="2:12" ht="10.5" thickBot="1"/>
    <row r="28" spans="2:12" ht="13.5" thickBot="1">
      <c r="C28" s="173"/>
      <c r="D28" s="174" t="s">
        <v>10</v>
      </c>
      <c r="E28" s="174" t="s">
        <v>9</v>
      </c>
      <c r="G28" s="173"/>
      <c r="H28" s="174" t="s">
        <v>10</v>
      </c>
      <c r="I28" s="174" t="s">
        <v>9</v>
      </c>
      <c r="K28" s="173"/>
      <c r="L28" s="174" t="s">
        <v>39</v>
      </c>
    </row>
    <row r="29" spans="2:12" ht="25.5" thickBot="1">
      <c r="C29" s="175" t="s">
        <v>46</v>
      </c>
      <c r="D29" s="176">
        <f>C18</f>
        <v>6.9305565310250001</v>
      </c>
      <c r="E29" s="176">
        <f>C19</f>
        <v>8.3022620999999991E-2</v>
      </c>
      <c r="G29" s="175" t="s">
        <v>46</v>
      </c>
      <c r="H29" s="176">
        <f>C13</f>
        <v>2.8E-3</v>
      </c>
      <c r="I29" s="176">
        <f>C14</f>
        <v>0.15506079948264584</v>
      </c>
      <c r="K29" s="175" t="s">
        <v>46</v>
      </c>
      <c r="L29" s="177">
        <f>C23</f>
        <v>55125.599538570874</v>
      </c>
    </row>
    <row r="30" spans="2:12" ht="25.5" thickBot="1">
      <c r="C30" s="175" t="s">
        <v>47</v>
      </c>
      <c r="D30" s="176">
        <f>D18</f>
        <v>40.521587842924994</v>
      </c>
      <c r="E30" s="176">
        <f>D19</f>
        <v>0.39640452249999991</v>
      </c>
      <c r="G30" s="175" t="s">
        <v>47</v>
      </c>
      <c r="H30" s="176">
        <f>D13</f>
        <v>3.3231987107983081E-3</v>
      </c>
      <c r="I30" s="176">
        <f>D14</f>
        <v>0.2264711607053016</v>
      </c>
      <c r="K30" s="175" t="s">
        <v>47</v>
      </c>
      <c r="L30" s="177">
        <f>D23</f>
        <v>54590.720345696849</v>
      </c>
    </row>
    <row r="31" spans="2:12" ht="13" thickBot="1">
      <c r="C31" s="175" t="s">
        <v>1</v>
      </c>
      <c r="D31" s="176">
        <f>E18</f>
        <v>96.35549737662501</v>
      </c>
      <c r="E31" s="176">
        <f>E19</f>
        <v>1.0420529037500121</v>
      </c>
      <c r="G31" s="175" t="s">
        <v>1</v>
      </c>
      <c r="H31" s="176">
        <f>E13</f>
        <v>3.6448228064334676E-2</v>
      </c>
      <c r="I31" s="176">
        <f>E14</f>
        <v>2.2468386720079958</v>
      </c>
      <c r="K31" s="175" t="s">
        <v>1</v>
      </c>
      <c r="L31" s="177">
        <f>E23</f>
        <v>43614.22579074408</v>
      </c>
    </row>
    <row r="32" spans="2:12" ht="25.5" thickBot="1">
      <c r="C32" s="175" t="s">
        <v>48</v>
      </c>
      <c r="D32" s="176">
        <f>F18</f>
        <v>240.95586607572483</v>
      </c>
      <c r="E32" s="176">
        <f>F19</f>
        <v>2.1245399425000024</v>
      </c>
      <c r="G32" s="175" t="s">
        <v>48</v>
      </c>
      <c r="H32" s="176">
        <f>F13</f>
        <v>1.046651581792964E-2</v>
      </c>
      <c r="I32" s="176">
        <f>F14</f>
        <v>0.79137709871651629</v>
      </c>
      <c r="K32" s="175" t="s">
        <v>48</v>
      </c>
      <c r="L32" s="177">
        <f>F23</f>
        <v>56727.977945797546</v>
      </c>
    </row>
    <row r="33" spans="3:12" ht="25.5" thickBot="1">
      <c r="C33" s="175" t="s">
        <v>49</v>
      </c>
      <c r="D33" s="176">
        <f>G18</f>
        <v>389.64212185795043</v>
      </c>
      <c r="E33" s="176">
        <f>G19</f>
        <v>2.8531263132500113</v>
      </c>
      <c r="G33" s="175" t="s">
        <v>49</v>
      </c>
      <c r="H33" s="176">
        <f>G13</f>
        <v>1.81795170060568E-2</v>
      </c>
      <c r="I33" s="176">
        <f>G14</f>
        <v>1.6551447553505638</v>
      </c>
      <c r="K33" s="175" t="s">
        <v>49</v>
      </c>
      <c r="L33" s="177">
        <f>G23</f>
        <v>38256.408126079456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A40C-20A3-41B6-BBD9-EB70B5ADD831}">
  <dimension ref="B2:O70"/>
  <sheetViews>
    <sheetView zoomScale="130" zoomScaleNormal="130" workbookViewId="0">
      <selection activeCell="E15" sqref="E15"/>
    </sheetView>
  </sheetViews>
  <sheetFormatPr defaultColWidth="9.1796875" defaultRowHeight="10"/>
  <cols>
    <col min="1" max="1" width="9.1796875" style="2"/>
    <col min="2" max="2" width="60.453125" style="2" bestFit="1" customWidth="1"/>
    <col min="3" max="3" width="12.81640625" style="2" bestFit="1" customWidth="1"/>
    <col min="4" max="4" width="18.81640625" style="2" customWidth="1"/>
    <col min="5" max="5" width="21" style="2" bestFit="1" customWidth="1"/>
    <col min="6" max="7" width="16.453125" style="2" bestFit="1" customWidth="1"/>
    <col min="8" max="8" width="12.81640625" style="2" customWidth="1"/>
    <col min="9" max="9" width="10.453125" style="2" bestFit="1" customWidth="1"/>
    <col min="10" max="10" width="4.453125" style="2" customWidth="1"/>
    <col min="11" max="16384" width="9.1796875" style="2"/>
  </cols>
  <sheetData>
    <row r="2" spans="2:15" ht="15.5">
      <c r="B2" s="81" t="s">
        <v>40</v>
      </c>
      <c r="C2" s="81"/>
      <c r="D2" s="81"/>
      <c r="E2" s="81"/>
      <c r="F2" s="81"/>
      <c r="G2" s="81"/>
      <c r="H2" s="81"/>
      <c r="I2" s="81"/>
    </row>
    <row r="3" spans="2:15" s="61" customFormat="1" ht="21.75" customHeight="1">
      <c r="D3" s="67" t="s">
        <v>63</v>
      </c>
      <c r="E3" s="67" t="s">
        <v>64</v>
      </c>
      <c r="F3" s="67" t="s">
        <v>65</v>
      </c>
      <c r="G3" s="67" t="s">
        <v>66</v>
      </c>
      <c r="H3" s="67" t="s">
        <v>67</v>
      </c>
      <c r="K3" s="185" t="s">
        <v>75</v>
      </c>
      <c r="L3" s="185"/>
      <c r="M3" s="185"/>
      <c r="N3" s="185"/>
      <c r="O3" s="185"/>
    </row>
    <row r="4" spans="2:15" s="61" customFormat="1" ht="15.75" customHeight="1">
      <c r="B4" s="98" t="str">
        <f>'Incentive rates calc'!B7</f>
        <v>Average smoothed revenue requirement</v>
      </c>
      <c r="C4" s="102">
        <f>AVERAGE(D4:H4)</f>
        <v>335392624.88756895</v>
      </c>
      <c r="D4" s="178">
        <v>316812287.22454959</v>
      </c>
      <c r="E4" s="178">
        <v>325841437.41044933</v>
      </c>
      <c r="F4" s="178">
        <v>335127918.37664706</v>
      </c>
      <c r="G4" s="178">
        <v>344679064.05038154</v>
      </c>
      <c r="H4" s="178">
        <v>354502417.37581742</v>
      </c>
      <c r="K4" s="103" t="s">
        <v>113</v>
      </c>
    </row>
    <row r="5" spans="2:15" s="46" customFormat="1">
      <c r="B5" s="180"/>
      <c r="C5" s="181"/>
      <c r="D5" s="182"/>
      <c r="E5" s="182"/>
      <c r="F5" s="43"/>
      <c r="G5" s="43"/>
      <c r="H5" s="179">
        <v>0</v>
      </c>
      <c r="K5" s="56"/>
    </row>
    <row r="6" spans="2:15" ht="19.5" customHeight="1">
      <c r="B6" s="98" t="s">
        <v>109</v>
      </c>
      <c r="C6" s="10"/>
      <c r="D6" s="99" t="str">
        <f>+'Output | Decision tables'!C6</f>
        <v>Critical infrastructure</v>
      </c>
      <c r="E6" s="100" t="s">
        <v>51</v>
      </c>
      <c r="F6" s="101" t="s">
        <v>52</v>
      </c>
      <c r="G6" s="101" t="s">
        <v>53</v>
      </c>
      <c r="H6" s="101" t="s">
        <v>1</v>
      </c>
    </row>
    <row r="7" spans="2:15" s="61" customFormat="1" ht="16.5" customHeight="1">
      <c r="B7" s="98" t="str">
        <f>'Incentive rates calc'!B6</f>
        <v>Average annual energy consumption by network feeders type</v>
      </c>
      <c r="C7" s="104"/>
      <c r="D7" s="102">
        <f>D58</f>
        <v>148601.52157845916</v>
      </c>
      <c r="E7" s="102">
        <f t="shared" ref="E7:H7" si="0">E58</f>
        <v>178975.03683091846</v>
      </c>
      <c r="F7" s="102">
        <f t="shared" si="0"/>
        <v>705551.86035129963</v>
      </c>
      <c r="G7" s="102">
        <f t="shared" si="0"/>
        <v>942193.30071307486</v>
      </c>
      <c r="H7" s="102">
        <f t="shared" si="0"/>
        <v>2801090.9007243994</v>
      </c>
    </row>
    <row r="8" spans="2:15" ht="10.5">
      <c r="B8" s="9"/>
      <c r="C8" s="11"/>
      <c r="D8" s="43"/>
      <c r="E8" s="43"/>
      <c r="F8" s="43"/>
      <c r="G8" s="43"/>
      <c r="H8" s="43"/>
    </row>
    <row r="9" spans="2:15" s="61" customFormat="1" ht="14.25" customHeight="1">
      <c r="B9" s="98" t="s">
        <v>39</v>
      </c>
      <c r="C9" s="83"/>
      <c r="D9" s="102">
        <f>D69</f>
        <v>48972.436287323668</v>
      </c>
      <c r="E9" s="102">
        <f t="shared" ref="E9:H9" si="1">E69</f>
        <v>48497.260735244447</v>
      </c>
      <c r="F9" s="102">
        <f t="shared" si="1"/>
        <v>38745.971230003532</v>
      </c>
      <c r="G9" s="102">
        <f t="shared" si="1"/>
        <v>50395.955942673354</v>
      </c>
      <c r="H9" s="102">
        <f t="shared" si="1"/>
        <v>33986.197433107285</v>
      </c>
    </row>
    <row r="10" spans="2:15" ht="10.5">
      <c r="B10" s="84"/>
      <c r="C10" s="85"/>
    </row>
    <row r="11" spans="2:15" ht="14.25" customHeight="1">
      <c r="B11" s="9" t="s">
        <v>7</v>
      </c>
      <c r="C11" s="42">
        <f>C15/C14-1</f>
        <v>0.12564543889845092</v>
      </c>
    </row>
    <row r="12" spans="2:15" ht="5.25" customHeight="1"/>
    <row r="13" spans="2:15" ht="10.5">
      <c r="B13" s="14" t="s">
        <v>41</v>
      </c>
    </row>
    <row r="14" spans="2:15">
      <c r="B14" s="44">
        <v>43800</v>
      </c>
      <c r="C14" s="3">
        <v>116.2</v>
      </c>
      <c r="D14" s="183"/>
      <c r="E14" s="180"/>
      <c r="K14" s="56" t="s">
        <v>77</v>
      </c>
    </row>
    <row r="15" spans="2:15">
      <c r="B15" s="44">
        <v>44896</v>
      </c>
      <c r="C15" s="3">
        <v>130.80000000000001</v>
      </c>
      <c r="D15" s="183"/>
      <c r="E15" s="184"/>
    </row>
    <row r="18" spans="2:11" ht="14.5">
      <c r="B18" s="46" t="s">
        <v>63</v>
      </c>
      <c r="C18" s="45"/>
      <c r="D18" s="95" t="str">
        <f>+D6</f>
        <v>Critical infrastructure</v>
      </c>
      <c r="E18" s="95" t="str">
        <f t="shared" ref="E18:H18" si="2">+E6</f>
        <v>High Density Commercial</v>
      </c>
      <c r="F18" s="95" t="str">
        <f t="shared" si="2"/>
        <v>High Density Rural</v>
      </c>
      <c r="G18" s="95" t="str">
        <f t="shared" si="2"/>
        <v>Low Density Rural</v>
      </c>
      <c r="H18" s="95" t="str">
        <f t="shared" si="2"/>
        <v>Urban</v>
      </c>
      <c r="I18" s="9" t="s">
        <v>54</v>
      </c>
    </row>
    <row r="19" spans="2:11">
      <c r="B19" s="3" t="s">
        <v>55</v>
      </c>
      <c r="C19" s="3" t="s">
        <v>56</v>
      </c>
      <c r="D19" s="57">
        <v>0</v>
      </c>
      <c r="E19" s="57">
        <v>1.8385434638343863</v>
      </c>
      <c r="F19" s="57">
        <v>104629.77558960326</v>
      </c>
      <c r="G19" s="57">
        <v>122209.5276081011</v>
      </c>
      <c r="H19" s="57">
        <v>20979.988304602652</v>
      </c>
      <c r="I19" s="57">
        <f>SUM(D19:H19)</f>
        <v>247821.13004577084</v>
      </c>
      <c r="K19" s="56" t="s">
        <v>76</v>
      </c>
    </row>
    <row r="20" spans="2:11">
      <c r="B20" s="3"/>
      <c r="C20" s="3" t="s">
        <v>57</v>
      </c>
      <c r="D20" s="57">
        <v>142673.08523540641</v>
      </c>
      <c r="E20" s="57">
        <v>164670.36397331825</v>
      </c>
      <c r="F20" s="57">
        <v>132904.91523757429</v>
      </c>
      <c r="G20" s="57">
        <v>108932.51302399946</v>
      </c>
      <c r="H20" s="57">
        <v>759409.57728943287</v>
      </c>
      <c r="I20" s="57">
        <f t="shared" ref="I20:I22" si="3">SUM(D20:H20)</f>
        <v>1308590.4547597314</v>
      </c>
      <c r="K20" s="56" t="s">
        <v>76</v>
      </c>
    </row>
    <row r="21" spans="2:11">
      <c r="B21" s="3"/>
      <c r="C21" s="3" t="s">
        <v>58</v>
      </c>
      <c r="D21" s="57">
        <v>684.04399728976682</v>
      </c>
      <c r="E21" s="57">
        <v>3430.8335608622524</v>
      </c>
      <c r="F21" s="57">
        <v>140474.39790993434</v>
      </c>
      <c r="G21" s="57">
        <v>443533.57452467061</v>
      </c>
      <c r="H21" s="57">
        <v>345050.77860436303</v>
      </c>
      <c r="I21" s="57">
        <f t="shared" si="3"/>
        <v>933173.62859712006</v>
      </c>
      <c r="K21" s="56" t="s">
        <v>76</v>
      </c>
    </row>
    <row r="22" spans="2:11">
      <c r="B22" s="3"/>
      <c r="C22" s="3" t="s">
        <v>59</v>
      </c>
      <c r="D22" s="57">
        <v>3189.886906538718</v>
      </c>
      <c r="E22" s="57">
        <v>8397.5631920117703</v>
      </c>
      <c r="F22" s="57">
        <v>317788.09266238986</v>
      </c>
      <c r="G22" s="57">
        <v>254491.2963204869</v>
      </c>
      <c r="H22" s="57">
        <v>1636923.7895981043</v>
      </c>
      <c r="I22" s="57">
        <f t="shared" si="3"/>
        <v>2220790.6286795316</v>
      </c>
      <c r="K22" s="56" t="s">
        <v>76</v>
      </c>
    </row>
    <row r="23" spans="2:11">
      <c r="B23" s="3" t="s">
        <v>60</v>
      </c>
      <c r="C23" s="3" t="s">
        <v>54</v>
      </c>
      <c r="D23" s="57">
        <f>SUM(D19:D22)</f>
        <v>146547.01613923488</v>
      </c>
      <c r="E23" s="57">
        <f t="shared" ref="E23:H23" si="4">SUM(E19:E22)</f>
        <v>176500.59926965612</v>
      </c>
      <c r="F23" s="57">
        <f t="shared" si="4"/>
        <v>695797.18139950174</v>
      </c>
      <c r="G23" s="57">
        <f t="shared" si="4"/>
        <v>929166.91147725808</v>
      </c>
      <c r="H23" s="57">
        <f t="shared" si="4"/>
        <v>2762364.1337965028</v>
      </c>
      <c r="I23" s="57">
        <f>SUM(D23:H23)</f>
        <v>4710375.842082154</v>
      </c>
      <c r="K23" s="56"/>
    </row>
    <row r="24" spans="2:11" ht="14.5">
      <c r="B24" s="45"/>
      <c r="C24" s="45"/>
      <c r="D24" s="45"/>
      <c r="E24" s="45"/>
      <c r="F24" s="45"/>
      <c r="G24" s="45"/>
      <c r="H24" s="45"/>
      <c r="I24" s="45"/>
    </row>
    <row r="25" spans="2:11" ht="14.5">
      <c r="B25" s="46" t="s">
        <v>64</v>
      </c>
      <c r="C25" s="45"/>
      <c r="D25" s="54" t="s">
        <v>50</v>
      </c>
      <c r="E25" s="54" t="s">
        <v>51</v>
      </c>
      <c r="F25" s="59" t="s">
        <v>52</v>
      </c>
      <c r="G25" s="59" t="s">
        <v>53</v>
      </c>
      <c r="H25" s="59" t="s">
        <v>1</v>
      </c>
      <c r="I25" s="54" t="s">
        <v>54</v>
      </c>
    </row>
    <row r="26" spans="2:11">
      <c r="B26" s="49" t="s">
        <v>55</v>
      </c>
      <c r="C26" s="3" t="s">
        <v>56</v>
      </c>
      <c r="D26" s="57">
        <v>0</v>
      </c>
      <c r="E26" s="57">
        <v>1.852171357831337</v>
      </c>
      <c r="F26" s="57">
        <v>105405.32619186431</v>
      </c>
      <c r="G26" s="57">
        <v>123115.38516350923</v>
      </c>
      <c r="H26" s="57">
        <v>21135.498936957301</v>
      </c>
      <c r="I26" s="57">
        <f>SUM(D26:H26)</f>
        <v>249658.06246368869</v>
      </c>
      <c r="K26" s="56" t="s">
        <v>76</v>
      </c>
    </row>
    <row r="27" spans="2:11">
      <c r="B27" s="50"/>
      <c r="C27" s="3" t="s">
        <v>57</v>
      </c>
      <c r="D27" s="57">
        <v>143730.62546768956</v>
      </c>
      <c r="E27" s="57">
        <v>165890.95533208191</v>
      </c>
      <c r="F27" s="57">
        <v>133890.05055374137</v>
      </c>
      <c r="G27" s="57">
        <v>109739.95694333791</v>
      </c>
      <c r="H27" s="57">
        <v>765038.57297169208</v>
      </c>
      <c r="I27" s="57">
        <f t="shared" ref="I27:I30" si="5">SUM(D27:H27)</f>
        <v>1318290.161268543</v>
      </c>
      <c r="K27" s="56" t="s">
        <v>76</v>
      </c>
    </row>
    <row r="28" spans="2:11">
      <c r="B28" s="50"/>
      <c r="C28" s="3" t="s">
        <v>58</v>
      </c>
      <c r="D28" s="57">
        <v>689.11435829438176</v>
      </c>
      <c r="E28" s="57">
        <v>3456.264037219391</v>
      </c>
      <c r="F28" s="57">
        <v>141515.64074245869</v>
      </c>
      <c r="G28" s="57">
        <v>446821.1924986862</v>
      </c>
      <c r="H28" s="57">
        <v>347608.40942837339</v>
      </c>
      <c r="I28" s="57">
        <f t="shared" si="5"/>
        <v>940090.62106503197</v>
      </c>
      <c r="K28" s="56" t="s">
        <v>76</v>
      </c>
    </row>
    <row r="29" spans="2:11">
      <c r="B29" s="50"/>
      <c r="C29" s="3" t="s">
        <v>59</v>
      </c>
      <c r="D29" s="57">
        <v>3213.5314063722485</v>
      </c>
      <c r="E29" s="57">
        <v>8459.8087158541912</v>
      </c>
      <c r="F29" s="57">
        <v>320143.64341519296</v>
      </c>
      <c r="G29" s="57">
        <v>256377.67022332034</v>
      </c>
      <c r="H29" s="57">
        <v>1649057.2116925733</v>
      </c>
      <c r="I29" s="57">
        <f t="shared" si="5"/>
        <v>2237251.8654533131</v>
      </c>
      <c r="K29" s="56" t="s">
        <v>76</v>
      </c>
    </row>
    <row r="30" spans="2:11">
      <c r="B30" s="51" t="s">
        <v>60</v>
      </c>
      <c r="C30" s="3" t="s">
        <v>54</v>
      </c>
      <c r="D30" s="57">
        <f>SUM(D26:D29)</f>
        <v>147633.2712323562</v>
      </c>
      <c r="E30" s="57">
        <f t="shared" ref="E30:H30" si="6">SUM(E26:E29)</f>
        <v>177808.88025651334</v>
      </c>
      <c r="F30" s="57">
        <f t="shared" si="6"/>
        <v>700954.66090325732</v>
      </c>
      <c r="G30" s="57">
        <f t="shared" si="6"/>
        <v>936054.20482885372</v>
      </c>
      <c r="H30" s="57">
        <f t="shared" si="6"/>
        <v>2782839.693029596</v>
      </c>
      <c r="I30" s="57">
        <f t="shared" si="5"/>
        <v>4745290.710250577</v>
      </c>
    </row>
    <row r="31" spans="2:11">
      <c r="B31" s="47"/>
      <c r="C31" s="47"/>
      <c r="D31" s="58"/>
      <c r="E31" s="58"/>
      <c r="F31" s="58"/>
      <c r="G31" s="58"/>
      <c r="H31" s="58"/>
      <c r="I31" s="58"/>
    </row>
    <row r="32" spans="2:11" ht="14.5">
      <c r="B32" s="46" t="s">
        <v>65</v>
      </c>
      <c r="C32" s="45"/>
      <c r="D32" s="54" t="s">
        <v>50</v>
      </c>
      <c r="E32" s="54" t="s">
        <v>51</v>
      </c>
      <c r="F32" s="59" t="s">
        <v>52</v>
      </c>
      <c r="G32" s="59" t="s">
        <v>53</v>
      </c>
      <c r="H32" s="59" t="s">
        <v>1</v>
      </c>
      <c r="I32" s="59" t="s">
        <v>54</v>
      </c>
    </row>
    <row r="33" spans="2:11">
      <c r="B33" s="3" t="s">
        <v>55</v>
      </c>
      <c r="C33" s="3" t="s">
        <v>56</v>
      </c>
      <c r="D33" s="57">
        <v>0</v>
      </c>
      <c r="E33" s="57">
        <v>1.864523988320002</v>
      </c>
      <c r="F33" s="57">
        <v>106108.30274988097</v>
      </c>
      <c r="G33" s="57">
        <v>123936.47488286176</v>
      </c>
      <c r="H33" s="57">
        <v>21276.457281582338</v>
      </c>
      <c r="I33" s="57">
        <f>SUM(D33:H33)</f>
        <v>251323.09943831339</v>
      </c>
      <c r="K33" s="56" t="s">
        <v>76</v>
      </c>
    </row>
    <row r="34" spans="2:11">
      <c r="B34" s="3"/>
      <c r="C34" s="3" t="s">
        <v>57</v>
      </c>
      <c r="D34" s="57">
        <v>144689.20378648286</v>
      </c>
      <c r="E34" s="57">
        <v>166997.32686944777</v>
      </c>
      <c r="F34" s="57">
        <v>134782.99942351307</v>
      </c>
      <c r="G34" s="57">
        <v>110471.84232329016</v>
      </c>
      <c r="H34" s="57">
        <v>770140.8216170657</v>
      </c>
      <c r="I34" s="57">
        <f t="shared" ref="I34:I37" si="7">SUM(D34:H34)</f>
        <v>1327082.1940197996</v>
      </c>
      <c r="K34" s="56" t="s">
        <v>76</v>
      </c>
    </row>
    <row r="35" spans="2:11">
      <c r="B35" s="3"/>
      <c r="C35" s="3" t="s">
        <v>58</v>
      </c>
      <c r="D35" s="57">
        <v>693.71024786823352</v>
      </c>
      <c r="E35" s="57">
        <v>3479.3147945602354</v>
      </c>
      <c r="F35" s="57">
        <v>142459.44673053155</v>
      </c>
      <c r="G35" s="57">
        <v>449801.16358079144</v>
      </c>
      <c r="H35" s="57">
        <v>349926.70369324577</v>
      </c>
      <c r="I35" s="57">
        <f t="shared" si="7"/>
        <v>946360.33904699725</v>
      </c>
      <c r="K35" s="56" t="s">
        <v>76</v>
      </c>
    </row>
    <row r="36" spans="2:11">
      <c r="B36" s="3"/>
      <c r="C36" s="3" t="s">
        <v>59</v>
      </c>
      <c r="D36" s="57">
        <v>3234.9633143103538</v>
      </c>
      <c r="E36" s="57">
        <v>8516.2294625793184</v>
      </c>
      <c r="F36" s="57">
        <v>322278.76774571557</v>
      </c>
      <c r="G36" s="57">
        <v>258087.52207499868</v>
      </c>
      <c r="H36" s="57">
        <v>1660055.2191418181</v>
      </c>
      <c r="I36" s="57">
        <f t="shared" si="7"/>
        <v>2252172.701739422</v>
      </c>
      <c r="K36" s="56" t="s">
        <v>76</v>
      </c>
    </row>
    <row r="37" spans="2:11">
      <c r="B37" s="3" t="s">
        <v>60</v>
      </c>
      <c r="C37" s="3" t="s">
        <v>54</v>
      </c>
      <c r="D37" s="57">
        <f>SUM(D33:D36)</f>
        <v>148617.87734866145</v>
      </c>
      <c r="E37" s="57">
        <f t="shared" ref="E37:H37" si="8">SUM(E33:E36)</f>
        <v>178994.73565057566</v>
      </c>
      <c r="F37" s="57">
        <f t="shared" si="8"/>
        <v>705629.5166496411</v>
      </c>
      <c r="G37" s="57">
        <f t="shared" si="8"/>
        <v>942297.00286194205</v>
      </c>
      <c r="H37" s="57">
        <f t="shared" si="8"/>
        <v>2801399.2017337121</v>
      </c>
      <c r="I37" s="57">
        <f t="shared" si="7"/>
        <v>4776938.3342445325</v>
      </c>
    </row>
    <row r="38" spans="2:11" ht="14.5">
      <c r="B38" s="45"/>
      <c r="C38" s="45"/>
      <c r="D38" s="60"/>
      <c r="E38" s="60"/>
      <c r="F38" s="60"/>
      <c r="G38" s="60"/>
      <c r="H38" s="60"/>
      <c r="I38" s="60"/>
    </row>
    <row r="39" spans="2:11" ht="14.5">
      <c r="B39" s="46" t="s">
        <v>66</v>
      </c>
      <c r="C39" s="45"/>
      <c r="D39" s="54" t="s">
        <v>50</v>
      </c>
      <c r="E39" s="54" t="s">
        <v>51</v>
      </c>
      <c r="F39" s="59" t="s">
        <v>52</v>
      </c>
      <c r="G39" s="59" t="s">
        <v>53</v>
      </c>
      <c r="H39" s="59" t="s">
        <v>1</v>
      </c>
      <c r="I39" s="59" t="s">
        <v>54</v>
      </c>
    </row>
    <row r="40" spans="2:11">
      <c r="B40" s="3" t="s">
        <v>55</v>
      </c>
      <c r="C40" s="3" t="s">
        <v>56</v>
      </c>
      <c r="D40" s="57">
        <v>0</v>
      </c>
      <c r="E40" s="57">
        <v>1.8774423723779945</v>
      </c>
      <c r="F40" s="57">
        <v>106843.47581027145</v>
      </c>
      <c r="G40" s="57">
        <v>124795.17071695138</v>
      </c>
      <c r="H40" s="57">
        <v>21423.871553685432</v>
      </c>
      <c r="I40" s="57">
        <f>SUM(D40:H40)</f>
        <v>253064.39552328063</v>
      </c>
      <c r="K40" s="56" t="s">
        <v>76</v>
      </c>
    </row>
    <row r="41" spans="2:11">
      <c r="B41" s="3"/>
      <c r="C41" s="3" t="s">
        <v>57</v>
      </c>
      <c r="D41" s="57">
        <v>145691.68523229312</v>
      </c>
      <c r="E41" s="57">
        <v>168154.37050024679</v>
      </c>
      <c r="F41" s="57">
        <v>135716.84557510377</v>
      </c>
      <c r="G41" s="57">
        <v>111237.24823689932</v>
      </c>
      <c r="H41" s="57">
        <v>775476.75452793785</v>
      </c>
      <c r="I41" s="57">
        <f t="shared" ref="I41:I44" si="9">SUM(D41:H41)</f>
        <v>1336276.9040724807</v>
      </c>
      <c r="K41" s="56" t="s">
        <v>76</v>
      </c>
    </row>
    <row r="42" spans="2:11">
      <c r="B42" s="3"/>
      <c r="C42" s="3" t="s">
        <v>58</v>
      </c>
      <c r="D42" s="57">
        <v>698.51663033532202</v>
      </c>
      <c r="E42" s="57">
        <v>3503.4212823589169</v>
      </c>
      <c r="F42" s="57">
        <v>143446.47926917556</v>
      </c>
      <c r="G42" s="57">
        <v>452917.61808460514</v>
      </c>
      <c r="H42" s="57">
        <v>352351.17641592165</v>
      </c>
      <c r="I42" s="57">
        <f t="shared" si="9"/>
        <v>952917.21168239659</v>
      </c>
      <c r="K42" s="56" t="s">
        <v>76</v>
      </c>
    </row>
    <row r="43" spans="2:11">
      <c r="B43" s="3"/>
      <c r="C43" s="3" t="s">
        <v>59</v>
      </c>
      <c r="D43" s="57">
        <v>3257.37680899831</v>
      </c>
      <c r="E43" s="57">
        <v>8575.2342936315144</v>
      </c>
      <c r="F43" s="57">
        <v>324511.68130518496</v>
      </c>
      <c r="G43" s="57">
        <v>259875.68556960978</v>
      </c>
      <c r="H43" s="57">
        <v>1671556.9380860038</v>
      </c>
      <c r="I43" s="57">
        <f t="shared" si="9"/>
        <v>2267776.9160634284</v>
      </c>
      <c r="K43" s="56" t="s">
        <v>76</v>
      </c>
    </row>
    <row r="44" spans="2:11">
      <c r="B44" s="3" t="s">
        <v>60</v>
      </c>
      <c r="C44" s="3" t="s">
        <v>54</v>
      </c>
      <c r="D44" s="57">
        <f>SUM(D40:D43)</f>
        <v>149647.57867162678</v>
      </c>
      <c r="E44" s="57">
        <f t="shared" ref="E44:H44" si="10">SUM(E40:E43)</f>
        <v>180234.90351860959</v>
      </c>
      <c r="F44" s="57">
        <f t="shared" si="10"/>
        <v>710518.48195973574</v>
      </c>
      <c r="G44" s="57">
        <f t="shared" si="10"/>
        <v>948825.72260806558</v>
      </c>
      <c r="H44" s="57">
        <f t="shared" si="10"/>
        <v>2820808.7405835483</v>
      </c>
      <c r="I44" s="57">
        <f t="shared" si="9"/>
        <v>4810035.427341586</v>
      </c>
    </row>
    <row r="45" spans="2:11">
      <c r="B45" s="47"/>
      <c r="C45" s="47"/>
      <c r="D45" s="58"/>
      <c r="E45" s="58"/>
      <c r="F45" s="58"/>
      <c r="G45" s="58"/>
      <c r="H45" s="58"/>
      <c r="I45" s="58"/>
    </row>
    <row r="46" spans="2:11" ht="14.5">
      <c r="B46" s="46" t="s">
        <v>67</v>
      </c>
      <c r="C46" s="45"/>
      <c r="D46" s="54" t="s">
        <v>50</v>
      </c>
      <c r="E46" s="54" t="s">
        <v>51</v>
      </c>
      <c r="F46" s="59" t="s">
        <v>52</v>
      </c>
      <c r="G46" s="59" t="s">
        <v>53</v>
      </c>
      <c r="H46" s="59" t="s">
        <v>1</v>
      </c>
      <c r="I46" s="59" t="s">
        <v>54</v>
      </c>
    </row>
    <row r="47" spans="2:11">
      <c r="B47" s="3" t="s">
        <v>55</v>
      </c>
      <c r="C47" s="3" t="s">
        <v>56</v>
      </c>
      <c r="D47" s="57">
        <v>0</v>
      </c>
      <c r="E47" s="57">
        <v>1.8889127815264179</v>
      </c>
      <c r="F47" s="57">
        <v>107496.24598336135</v>
      </c>
      <c r="G47" s="57">
        <v>125557.61844314053</v>
      </c>
      <c r="H47" s="57">
        <v>21554.762693610424</v>
      </c>
      <c r="I47" s="57">
        <f>SUM(D47:H47)</f>
        <v>254610.51603289382</v>
      </c>
      <c r="K47" s="56" t="s">
        <v>76</v>
      </c>
    </row>
    <row r="48" spans="2:11">
      <c r="B48" s="3"/>
      <c r="C48" s="3" t="s">
        <v>57</v>
      </c>
      <c r="D48" s="57">
        <v>146581.80216143274</v>
      </c>
      <c r="E48" s="57">
        <v>169181.72529851436</v>
      </c>
      <c r="F48" s="57">
        <v>136546.02029171999</v>
      </c>
      <c r="G48" s="57">
        <v>111916.86257212168</v>
      </c>
      <c r="H48" s="57">
        <v>780214.60203281778</v>
      </c>
      <c r="I48" s="57">
        <f t="shared" ref="I48:I51" si="11">SUM(D48:H48)</f>
        <v>1344441.0123566065</v>
      </c>
      <c r="K48" s="56" t="s">
        <v>76</v>
      </c>
    </row>
    <row r="49" spans="2:12">
      <c r="B49" s="3"/>
      <c r="C49" s="3" t="s">
        <v>58</v>
      </c>
      <c r="D49" s="57">
        <v>702.78428278889669</v>
      </c>
      <c r="E49" s="57">
        <v>3524.825761196289</v>
      </c>
      <c r="F49" s="57">
        <v>144322.8789032342</v>
      </c>
      <c r="G49" s="57">
        <v>455684.76048343122</v>
      </c>
      <c r="H49" s="57">
        <v>354503.8987667546</v>
      </c>
      <c r="I49" s="57">
        <f t="shared" si="11"/>
        <v>958739.14819740527</v>
      </c>
      <c r="K49" s="56" t="s">
        <v>76</v>
      </c>
    </row>
    <row r="50" spans="2:12">
      <c r="B50" s="3"/>
      <c r="C50" s="3" t="s">
        <v>59</v>
      </c>
      <c r="D50" s="57">
        <v>3277.2780561947666</v>
      </c>
      <c r="E50" s="57">
        <v>8627.6254867454536</v>
      </c>
      <c r="F50" s="57">
        <v>326494.31566604611</v>
      </c>
      <c r="G50" s="57">
        <v>261463.42029056145</v>
      </c>
      <c r="H50" s="57">
        <v>1681769.470985454</v>
      </c>
      <c r="I50" s="57">
        <f t="shared" si="11"/>
        <v>2281632.1104850019</v>
      </c>
      <c r="K50" s="56" t="s">
        <v>76</v>
      </c>
    </row>
    <row r="51" spans="2:12">
      <c r="B51" s="3" t="s">
        <v>60</v>
      </c>
      <c r="C51" s="3" t="s">
        <v>54</v>
      </c>
      <c r="D51" s="57">
        <f>SUM(D47:D50)</f>
        <v>150561.86450041641</v>
      </c>
      <c r="E51" s="57">
        <f t="shared" ref="E51:H51" si="12">SUM(E47:E50)</f>
        <v>181336.06545923761</v>
      </c>
      <c r="F51" s="57">
        <f t="shared" si="12"/>
        <v>714859.46084436169</v>
      </c>
      <c r="G51" s="57">
        <f t="shared" si="12"/>
        <v>954622.66178925475</v>
      </c>
      <c r="H51" s="57">
        <f t="shared" si="12"/>
        <v>2838042.7344786366</v>
      </c>
      <c r="I51" s="57">
        <f t="shared" si="11"/>
        <v>4839422.787071907</v>
      </c>
    </row>
    <row r="52" spans="2:12" ht="14.5">
      <c r="B52" s="45"/>
      <c r="C52" s="45"/>
      <c r="D52" s="60"/>
      <c r="E52" s="60"/>
      <c r="F52" s="60"/>
      <c r="G52" s="60"/>
      <c r="H52" s="60"/>
      <c r="I52" s="60"/>
    </row>
    <row r="53" spans="2:12" ht="14.5">
      <c r="B53" s="46" t="s">
        <v>68</v>
      </c>
      <c r="C53" s="45"/>
      <c r="D53" s="54" t="s">
        <v>50</v>
      </c>
      <c r="E53" s="54" t="s">
        <v>51</v>
      </c>
      <c r="F53" s="59" t="s">
        <v>52</v>
      </c>
      <c r="G53" s="59" t="s">
        <v>53</v>
      </c>
      <c r="H53" s="59" t="s">
        <v>1</v>
      </c>
      <c r="I53" s="59" t="s">
        <v>54</v>
      </c>
    </row>
    <row r="54" spans="2:12">
      <c r="B54" s="3" t="s">
        <v>55</v>
      </c>
      <c r="C54" s="3" t="s">
        <v>56</v>
      </c>
      <c r="D54" s="57">
        <f>AVERAGE(D19,D26,D33,D40,D47)</f>
        <v>0</v>
      </c>
      <c r="E54" s="57">
        <f t="shared" ref="E54:H54" si="13">AVERAGE(E19,E26,E33,E40,E47)</f>
        <v>1.8643187927780276</v>
      </c>
      <c r="F54" s="57">
        <f t="shared" si="13"/>
        <v>106096.62526499627</v>
      </c>
      <c r="G54" s="57">
        <f t="shared" si="13"/>
        <v>123922.83536291281</v>
      </c>
      <c r="H54" s="57">
        <f t="shared" si="13"/>
        <v>21274.115754087627</v>
      </c>
      <c r="I54" s="57">
        <f>SUM(D54:H54)</f>
        <v>251295.44070078951</v>
      </c>
      <c r="K54" s="56" t="s">
        <v>76</v>
      </c>
    </row>
    <row r="55" spans="2:12">
      <c r="B55" s="3"/>
      <c r="C55" s="3" t="s">
        <v>57</v>
      </c>
      <c r="D55" s="57">
        <f t="shared" ref="D55:H57" si="14">AVERAGE(D20,D27,D34,D41,D48)</f>
        <v>144673.28037666096</v>
      </c>
      <c r="E55" s="57">
        <f t="shared" si="14"/>
        <v>166978.94839472181</v>
      </c>
      <c r="F55" s="57">
        <f t="shared" si="14"/>
        <v>134768.16621633052</v>
      </c>
      <c r="G55" s="57">
        <f t="shared" si="14"/>
        <v>110459.68461992971</v>
      </c>
      <c r="H55" s="57">
        <f t="shared" si="14"/>
        <v>770056.06568778923</v>
      </c>
      <c r="I55" s="57">
        <f t="shared" ref="I55:I58" si="15">SUM(D55:H55)</f>
        <v>1326936.1452954323</v>
      </c>
      <c r="K55" s="56" t="s">
        <v>76</v>
      </c>
    </row>
    <row r="56" spans="2:12">
      <c r="B56" s="3"/>
      <c r="C56" s="3" t="s">
        <v>58</v>
      </c>
      <c r="D56" s="57">
        <f t="shared" si="14"/>
        <v>693.63390331532014</v>
      </c>
      <c r="E56" s="57">
        <f t="shared" si="14"/>
        <v>3478.9318872394169</v>
      </c>
      <c r="F56" s="57">
        <f t="shared" si="14"/>
        <v>142443.76871106686</v>
      </c>
      <c r="G56" s="57">
        <f t="shared" si="14"/>
        <v>449751.66183443693</v>
      </c>
      <c r="H56" s="57">
        <f t="shared" si="14"/>
        <v>349888.19338173169</v>
      </c>
      <c r="I56" s="57">
        <f t="shared" si="15"/>
        <v>946256.18971779011</v>
      </c>
      <c r="K56" s="56" t="s">
        <v>76</v>
      </c>
    </row>
    <row r="57" spans="2:12">
      <c r="B57" s="3"/>
      <c r="C57" s="3" t="s">
        <v>59</v>
      </c>
      <c r="D57" s="57">
        <f t="shared" si="14"/>
        <v>3234.6072984828788</v>
      </c>
      <c r="E57" s="57">
        <f t="shared" si="14"/>
        <v>8515.2922301644503</v>
      </c>
      <c r="F57" s="57">
        <f t="shared" si="14"/>
        <v>322243.30015890591</v>
      </c>
      <c r="G57" s="57">
        <f t="shared" si="14"/>
        <v>258059.11889579543</v>
      </c>
      <c r="H57" s="57">
        <f t="shared" si="14"/>
        <v>1659872.5259007909</v>
      </c>
      <c r="I57" s="57">
        <f t="shared" si="15"/>
        <v>2251924.8444841397</v>
      </c>
      <c r="K57" s="56" t="s">
        <v>76</v>
      </c>
    </row>
    <row r="58" spans="2:12">
      <c r="B58" s="3" t="s">
        <v>61</v>
      </c>
      <c r="C58" s="3" t="s">
        <v>54</v>
      </c>
      <c r="D58" s="57">
        <f>SUM(D54:D57)</f>
        <v>148601.52157845916</v>
      </c>
      <c r="E58" s="57">
        <f t="shared" ref="E58:H58" si="16">SUM(E54:E57)</f>
        <v>178975.03683091846</v>
      </c>
      <c r="F58" s="57">
        <f t="shared" si="16"/>
        <v>705551.86035129963</v>
      </c>
      <c r="G58" s="57">
        <f t="shared" si="16"/>
        <v>942193.30071307486</v>
      </c>
      <c r="H58" s="57">
        <f t="shared" si="16"/>
        <v>2801090.9007243994</v>
      </c>
      <c r="I58" s="57">
        <f t="shared" si="15"/>
        <v>4776412.6201981511</v>
      </c>
    </row>
    <row r="59" spans="2:12" ht="14.5" hidden="1">
      <c r="B59" s="45"/>
      <c r="C59" s="46" t="s">
        <v>62</v>
      </c>
      <c r="D59" s="53">
        <f>SUM(D54:D57)-AVERAGE(D23,D30,D37,D44,D51)</f>
        <v>0</v>
      </c>
      <c r="E59" s="53">
        <f t="shared" ref="E59:I59" si="17">SUM(E54:E57)-AVERAGE(E23,E30,E37,E44,E51)</f>
        <v>0</v>
      </c>
      <c r="F59" s="53">
        <f t="shared" si="17"/>
        <v>0</v>
      </c>
      <c r="G59" s="53">
        <f t="shared" si="17"/>
        <v>0</v>
      </c>
      <c r="H59" s="53">
        <f t="shared" si="17"/>
        <v>0</v>
      </c>
      <c r="I59" s="53">
        <f t="shared" si="17"/>
        <v>0</v>
      </c>
    </row>
    <row r="61" spans="2:12" ht="10.5">
      <c r="B61" s="46"/>
      <c r="C61" s="54" t="s">
        <v>69</v>
      </c>
      <c r="D61" s="55" t="s">
        <v>70</v>
      </c>
    </row>
    <row r="62" spans="2:12">
      <c r="B62" s="3" t="s">
        <v>72</v>
      </c>
      <c r="C62" s="3" t="s">
        <v>56</v>
      </c>
      <c r="D62" s="106">
        <v>42140</v>
      </c>
    </row>
    <row r="63" spans="2:12">
      <c r="B63" s="3"/>
      <c r="C63" s="3" t="s">
        <v>71</v>
      </c>
      <c r="D63" s="106">
        <v>49540</v>
      </c>
    </row>
    <row r="64" spans="2:12">
      <c r="B64" s="3"/>
      <c r="C64" s="3" t="s">
        <v>58</v>
      </c>
      <c r="D64" s="106">
        <v>70970</v>
      </c>
      <c r="L64" s="56" t="s">
        <v>78</v>
      </c>
    </row>
    <row r="65" spans="2:12">
      <c r="B65" s="3"/>
      <c r="C65" s="3" t="s">
        <v>59</v>
      </c>
      <c r="D65" s="106">
        <v>18870</v>
      </c>
    </row>
    <row r="66" spans="2:12">
      <c r="B66" s="46" t="s">
        <v>80</v>
      </c>
    </row>
    <row r="68" spans="2:12" ht="10.5">
      <c r="B68" s="2" t="s">
        <v>39</v>
      </c>
      <c r="C68" s="52" t="s">
        <v>44</v>
      </c>
      <c r="D68" s="96" t="s">
        <v>50</v>
      </c>
      <c r="E68" s="96" t="s">
        <v>51</v>
      </c>
      <c r="F68" s="97" t="s">
        <v>52</v>
      </c>
      <c r="G68" s="97" t="s">
        <v>53</v>
      </c>
      <c r="H68" s="97" t="s">
        <v>1</v>
      </c>
    </row>
    <row r="69" spans="2:12" ht="17.25" customHeight="1">
      <c r="B69" s="105" t="s">
        <v>61</v>
      </c>
      <c r="C69" s="107" t="s">
        <v>73</v>
      </c>
      <c r="D69" s="108">
        <f>SUMPRODUCT(D62:D65,$D$54:$D$57)/D58</f>
        <v>48972.436287323668</v>
      </c>
      <c r="E69" s="108">
        <f>SUMPRODUCT(D62:D65,$E$54:$E$57)/E58</f>
        <v>48497.260735244447</v>
      </c>
      <c r="F69" s="108">
        <f>SUMPRODUCT(D62:D65,$F$54:$F$57)/F58</f>
        <v>38745.971230003532</v>
      </c>
      <c r="G69" s="108">
        <f>SUMPRODUCT(D62:D65,$G$54:$G$57)/G58</f>
        <v>50395.955942673354</v>
      </c>
      <c r="H69" s="108">
        <f>SUMPRODUCT(D62:D65,$H$54:$H$57)/H58</f>
        <v>33986.197433107285</v>
      </c>
    </row>
    <row r="70" spans="2:12">
      <c r="D70" s="4">
        <v>0</v>
      </c>
      <c r="E70" s="4">
        <v>0</v>
      </c>
      <c r="F70" s="4">
        <v>0</v>
      </c>
      <c r="G70" s="4">
        <v>0</v>
      </c>
      <c r="H70" s="4">
        <v>0</v>
      </c>
      <c r="L70" s="56" t="s">
        <v>76</v>
      </c>
    </row>
  </sheetData>
  <mergeCells count="1">
    <mergeCell ref="K3:O3"/>
  </mergeCells>
  <hyperlinks>
    <hyperlink ref="L64" r:id="rId1" display="https://www.aer.gov.au/system/files/AER - Annual update - VCR review final decision - Appendices A to E - December 2022.xlsx" xr:uid="{08C1315E-A3D0-4EE3-86F1-36B4BA81FE2A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W37"/>
  <sheetViews>
    <sheetView showGridLines="0" zoomScaleNormal="100" workbookViewId="0">
      <selection activeCell="R36" sqref="R36"/>
    </sheetView>
  </sheetViews>
  <sheetFormatPr defaultColWidth="9.1796875" defaultRowHeight="10"/>
  <cols>
    <col min="1" max="1" width="3.1796875" style="2" customWidth="1"/>
    <col min="2" max="2" width="27.81640625" style="2" customWidth="1"/>
    <col min="3" max="9" width="13.54296875" style="112" customWidth="1"/>
    <col min="10" max="10" width="3" style="2" customWidth="1"/>
    <col min="11" max="11" width="25" style="2" bestFit="1" customWidth="1"/>
    <col min="12" max="18" width="13.54296875" style="112" customWidth="1"/>
    <col min="19" max="19" width="5.1796875" style="2" customWidth="1"/>
    <col min="20" max="16384" width="9.1796875" style="2"/>
  </cols>
  <sheetData>
    <row r="2" spans="2:23" s="61" customFormat="1" ht="19.5" customHeight="1">
      <c r="B2" s="119" t="s">
        <v>42</v>
      </c>
      <c r="C2" s="120"/>
      <c r="D2" s="120"/>
      <c r="E2" s="120"/>
      <c r="F2" s="120"/>
      <c r="G2" s="120"/>
      <c r="H2" s="120"/>
      <c r="I2" s="120"/>
      <c r="J2" s="119"/>
      <c r="K2" s="119"/>
      <c r="L2" s="120"/>
      <c r="M2" s="120"/>
      <c r="N2" s="120"/>
      <c r="O2" s="120"/>
      <c r="P2" s="120"/>
      <c r="Q2" s="120"/>
      <c r="R2" s="120"/>
    </row>
    <row r="4" spans="2:23" ht="10.5">
      <c r="B4" s="68" t="s">
        <v>17</v>
      </c>
      <c r="C4" s="111"/>
      <c r="D4" s="111"/>
      <c r="E4" s="111"/>
      <c r="F4" s="111"/>
      <c r="G4" s="111"/>
      <c r="H4" s="111"/>
      <c r="I4" s="111"/>
      <c r="K4" s="68" t="s">
        <v>17</v>
      </c>
      <c r="L4" s="111"/>
      <c r="M4" s="111"/>
      <c r="N4" s="111"/>
      <c r="O4" s="111"/>
      <c r="P4" s="111"/>
      <c r="Q4" s="111"/>
      <c r="R4" s="111"/>
    </row>
    <row r="5" spans="2:23">
      <c r="C5" s="112" t="s">
        <v>74</v>
      </c>
    </row>
    <row r="6" spans="2:23" ht="10.5">
      <c r="B6" s="62" t="s">
        <v>9</v>
      </c>
      <c r="K6" s="63" t="s">
        <v>10</v>
      </c>
      <c r="L6" s="118"/>
      <c r="M6" s="118"/>
      <c r="N6" s="118"/>
      <c r="O6" s="118"/>
      <c r="P6" s="118"/>
      <c r="Q6" s="118"/>
      <c r="R6" s="118"/>
    </row>
    <row r="7" spans="2:23" s="61" customFormat="1" ht="15.75" customHeight="1">
      <c r="B7" s="128" t="s">
        <v>0</v>
      </c>
      <c r="C7" s="86" t="s">
        <v>11</v>
      </c>
      <c r="D7" s="86" t="s">
        <v>12</v>
      </c>
      <c r="E7" s="86" t="s">
        <v>13</v>
      </c>
      <c r="F7" s="86" t="s">
        <v>14</v>
      </c>
      <c r="G7" s="86" t="s">
        <v>16</v>
      </c>
      <c r="H7" s="86" t="s">
        <v>18</v>
      </c>
      <c r="I7" s="86" t="s">
        <v>19</v>
      </c>
      <c r="K7" s="129" t="s">
        <v>0</v>
      </c>
      <c r="L7" s="86" t="s">
        <v>11</v>
      </c>
      <c r="M7" s="86" t="s">
        <v>12</v>
      </c>
      <c r="N7" s="86" t="s">
        <v>13</v>
      </c>
      <c r="O7" s="86" t="s">
        <v>14</v>
      </c>
      <c r="P7" s="86" t="s">
        <v>16</v>
      </c>
      <c r="Q7" s="86" t="s">
        <v>18</v>
      </c>
      <c r="R7" s="86" t="s">
        <v>19</v>
      </c>
      <c r="T7" s="186" t="s">
        <v>92</v>
      </c>
      <c r="U7" s="186"/>
      <c r="V7" s="186"/>
      <c r="W7" s="186"/>
    </row>
    <row r="8" spans="2:23" s="61" customFormat="1" ht="16.5" customHeight="1">
      <c r="B8" s="109" t="s">
        <v>46</v>
      </c>
      <c r="C8" s="113">
        <v>9.0369939999999996E-3</v>
      </c>
      <c r="D8" s="113">
        <v>0.167638074</v>
      </c>
      <c r="E8" s="113">
        <v>0.10431457899999999</v>
      </c>
      <c r="F8" s="113">
        <v>5.1100837000000003E-2</v>
      </c>
      <c r="G8" s="113"/>
      <c r="H8" s="114">
        <f>AVERAGE(C8:F8)</f>
        <v>8.3022620999999991E-2</v>
      </c>
      <c r="I8" s="114"/>
      <c r="K8" s="109" t="s">
        <v>46</v>
      </c>
      <c r="L8" s="113">
        <v>5.8763061281999995</v>
      </c>
      <c r="M8" s="113">
        <v>11.116291978900001</v>
      </c>
      <c r="N8" s="113">
        <v>7.3118514473000005</v>
      </c>
      <c r="O8" s="113">
        <v>3.4177765696999995</v>
      </c>
      <c r="P8" s="113"/>
      <c r="Q8" s="114">
        <f>AVERAGE(L8:O8)</f>
        <v>6.9305565310250001</v>
      </c>
      <c r="R8" s="114"/>
    </row>
    <row r="9" spans="2:23" s="61" customFormat="1" ht="16.5" customHeight="1">
      <c r="B9" s="109" t="s">
        <v>47</v>
      </c>
      <c r="C9" s="113">
        <v>0.32133759499999975</v>
      </c>
      <c r="D9" s="113">
        <v>0.26059062000000005</v>
      </c>
      <c r="E9" s="113">
        <v>0.34913647600000014</v>
      </c>
      <c r="F9" s="113">
        <v>0.65455339899999976</v>
      </c>
      <c r="G9" s="113"/>
      <c r="H9" s="114">
        <f t="shared" ref="H9:H12" si="0">AVERAGE(C9:F9)</f>
        <v>0.39640452249999991</v>
      </c>
      <c r="I9" s="114"/>
      <c r="K9" s="109" t="s">
        <v>47</v>
      </c>
      <c r="L9" s="113">
        <v>34.549219356099989</v>
      </c>
      <c r="M9" s="113">
        <v>41.614644397699998</v>
      </c>
      <c r="N9" s="113">
        <v>28.929930700499998</v>
      </c>
      <c r="O9" s="113">
        <v>56.992556917400002</v>
      </c>
      <c r="P9" s="113"/>
      <c r="Q9" s="114">
        <f t="shared" ref="Q9:Q12" si="1">AVERAGE(L9:O9)</f>
        <v>40.521587842924994</v>
      </c>
      <c r="R9" s="114"/>
    </row>
    <row r="10" spans="2:23" s="61" customFormat="1" ht="16.5" customHeight="1">
      <c r="B10" s="109" t="s">
        <v>1</v>
      </c>
      <c r="C10" s="113">
        <v>1.1129836230000036</v>
      </c>
      <c r="D10" s="113">
        <v>0.90855573599999639</v>
      </c>
      <c r="E10" s="113">
        <v>1.1742721090000314</v>
      </c>
      <c r="F10" s="113">
        <v>0.9724001470000172</v>
      </c>
      <c r="G10" s="113"/>
      <c r="H10" s="114">
        <f t="shared" si="0"/>
        <v>1.0420529037500121</v>
      </c>
      <c r="I10" s="114"/>
      <c r="K10" s="109" t="s">
        <v>1</v>
      </c>
      <c r="L10" s="113">
        <v>97.756403288000328</v>
      </c>
      <c r="M10" s="113">
        <v>83.841582939600059</v>
      </c>
      <c r="N10" s="113">
        <v>107.04929095659978</v>
      </c>
      <c r="O10" s="113">
        <v>96.774712322299862</v>
      </c>
      <c r="P10" s="113"/>
      <c r="Q10" s="114">
        <f t="shared" si="1"/>
        <v>96.35549737662501</v>
      </c>
      <c r="R10" s="114"/>
    </row>
    <row r="11" spans="2:23" s="61" customFormat="1" ht="16.5" customHeight="1">
      <c r="B11" s="109" t="s">
        <v>48</v>
      </c>
      <c r="C11" s="113">
        <v>2.097609981999935</v>
      </c>
      <c r="D11" s="113">
        <v>2.1759231370000274</v>
      </c>
      <c r="E11" s="113">
        <v>1.9815038740000237</v>
      </c>
      <c r="F11" s="113">
        <v>2.2431227770000235</v>
      </c>
      <c r="G11" s="113"/>
      <c r="H11" s="114">
        <f t="shared" si="0"/>
        <v>2.1245399425000024</v>
      </c>
      <c r="I11" s="114"/>
      <c r="K11" s="109" t="s">
        <v>48</v>
      </c>
      <c r="L11" s="113">
        <v>227.68859505830034</v>
      </c>
      <c r="M11" s="113">
        <v>242.72105532279974</v>
      </c>
      <c r="N11" s="113">
        <v>213.87440088059969</v>
      </c>
      <c r="O11" s="113">
        <v>279.53941304119968</v>
      </c>
      <c r="P11" s="113"/>
      <c r="Q11" s="114">
        <f t="shared" si="1"/>
        <v>240.95586607572483</v>
      </c>
      <c r="R11" s="114"/>
    </row>
    <row r="12" spans="2:23" s="61" customFormat="1" ht="16.5" customHeight="1">
      <c r="B12" s="109" t="s">
        <v>49</v>
      </c>
      <c r="C12" s="113">
        <v>2.8053603009999466</v>
      </c>
      <c r="D12" s="113">
        <v>2.5870989600000316</v>
      </c>
      <c r="E12" s="113">
        <v>2.6476752370000276</v>
      </c>
      <c r="F12" s="113">
        <v>3.3723707550000399</v>
      </c>
      <c r="G12" s="113"/>
      <c r="H12" s="114">
        <f t="shared" si="0"/>
        <v>2.8531263132500113</v>
      </c>
      <c r="I12" s="114"/>
      <c r="K12" s="109" t="s">
        <v>49</v>
      </c>
      <c r="L12" s="113">
        <v>369.14875903720025</v>
      </c>
      <c r="M12" s="113">
        <v>367.90112169789995</v>
      </c>
      <c r="N12" s="113">
        <v>353.5396570323004</v>
      </c>
      <c r="O12" s="113">
        <v>467.97894966440128</v>
      </c>
      <c r="P12" s="113"/>
      <c r="Q12" s="114">
        <f t="shared" si="1"/>
        <v>389.64212185795043</v>
      </c>
      <c r="R12" s="114"/>
    </row>
    <row r="13" spans="2:23" ht="10.5">
      <c r="B13" s="8"/>
      <c r="C13" s="115"/>
      <c r="D13" s="115"/>
      <c r="E13" s="115"/>
      <c r="F13" s="115"/>
      <c r="G13" s="115"/>
      <c r="H13" s="115"/>
      <c r="I13" s="115"/>
      <c r="K13" s="8"/>
      <c r="L13" s="115"/>
      <c r="M13" s="115"/>
      <c r="N13" s="115"/>
      <c r="O13" s="115"/>
      <c r="P13" s="115"/>
      <c r="Q13" s="115"/>
      <c r="R13" s="115"/>
    </row>
    <row r="16" spans="2:23" ht="10.5">
      <c r="B16" s="68" t="s">
        <v>20</v>
      </c>
      <c r="C16" s="111"/>
      <c r="D16" s="111"/>
      <c r="E16" s="111"/>
      <c r="F16" s="111"/>
      <c r="G16" s="111"/>
      <c r="H16" s="111"/>
      <c r="I16" s="111"/>
      <c r="K16" s="68" t="s">
        <v>20</v>
      </c>
      <c r="L16" s="111"/>
      <c r="M16" s="111"/>
      <c r="N16" s="111"/>
      <c r="O16" s="111"/>
      <c r="P16" s="111"/>
      <c r="Q16" s="111"/>
      <c r="R16" s="111"/>
    </row>
    <row r="18" spans="2:18" ht="10.5">
      <c r="B18" s="62" t="s">
        <v>9</v>
      </c>
      <c r="K18" s="63" t="s">
        <v>10</v>
      </c>
      <c r="L18" s="118"/>
      <c r="M18" s="118"/>
      <c r="N18" s="118"/>
      <c r="O18" s="118"/>
      <c r="P18" s="118"/>
      <c r="Q18" s="118"/>
      <c r="R18" s="118"/>
    </row>
    <row r="19" spans="2:18" s="61" customFormat="1" ht="15" customHeight="1">
      <c r="B19" s="128" t="s">
        <v>0</v>
      </c>
      <c r="C19" s="86" t="s">
        <v>11</v>
      </c>
      <c r="D19" s="86" t="s">
        <v>12</v>
      </c>
      <c r="E19" s="86" t="s">
        <v>13</v>
      </c>
      <c r="F19" s="86" t="s">
        <v>14</v>
      </c>
      <c r="G19" s="86" t="s">
        <v>16</v>
      </c>
      <c r="H19" s="86" t="s">
        <v>18</v>
      </c>
      <c r="I19" s="86" t="s">
        <v>19</v>
      </c>
      <c r="K19" s="129" t="s">
        <v>0</v>
      </c>
      <c r="L19" s="86" t="s">
        <v>11</v>
      </c>
      <c r="M19" s="86" t="s">
        <v>12</v>
      </c>
      <c r="N19" s="86" t="s">
        <v>13</v>
      </c>
      <c r="O19" s="86" t="s">
        <v>14</v>
      </c>
      <c r="P19" s="86" t="s">
        <v>16</v>
      </c>
      <c r="Q19" s="86" t="s">
        <v>18</v>
      </c>
      <c r="R19" s="86" t="s">
        <v>19</v>
      </c>
    </row>
    <row r="20" spans="2:18" s="61" customFormat="1" ht="16.5" customHeight="1">
      <c r="B20" s="109" t="s">
        <v>46</v>
      </c>
      <c r="C20" s="113"/>
      <c r="D20" s="113"/>
      <c r="E20" s="113"/>
      <c r="F20" s="113"/>
      <c r="G20" s="113"/>
      <c r="H20" s="116" t="e">
        <f t="shared" ref="H20:H24" si="2">AVERAGE(C20:F20)</f>
        <v>#DIV/0!</v>
      </c>
      <c r="I20" s="116"/>
      <c r="K20" s="109" t="s">
        <v>46</v>
      </c>
      <c r="L20" s="117"/>
      <c r="M20" s="117"/>
      <c r="N20" s="117"/>
      <c r="O20" s="117"/>
      <c r="P20" s="117"/>
      <c r="Q20" s="116" t="e">
        <f t="shared" ref="Q20:Q24" si="3">AVERAGE(L20:O20)</f>
        <v>#DIV/0!</v>
      </c>
      <c r="R20" s="116"/>
    </row>
    <row r="21" spans="2:18" s="61" customFormat="1" ht="16.5" customHeight="1">
      <c r="B21" s="109" t="s">
        <v>47</v>
      </c>
      <c r="C21" s="113"/>
      <c r="D21" s="113"/>
      <c r="E21" s="113"/>
      <c r="F21" s="113"/>
      <c r="G21" s="113"/>
      <c r="H21" s="116" t="e">
        <f t="shared" si="2"/>
        <v>#DIV/0!</v>
      </c>
      <c r="I21" s="116"/>
      <c r="K21" s="109" t="s">
        <v>47</v>
      </c>
      <c r="L21" s="117"/>
      <c r="M21" s="117"/>
      <c r="N21" s="117"/>
      <c r="O21" s="117"/>
      <c r="P21" s="117"/>
      <c r="Q21" s="116" t="e">
        <f t="shared" si="3"/>
        <v>#DIV/0!</v>
      </c>
      <c r="R21" s="116"/>
    </row>
    <row r="22" spans="2:18" s="61" customFormat="1" ht="16.5" customHeight="1">
      <c r="B22" s="109" t="s">
        <v>1</v>
      </c>
      <c r="C22" s="113"/>
      <c r="D22" s="113"/>
      <c r="E22" s="113"/>
      <c r="F22" s="113"/>
      <c r="G22" s="113"/>
      <c r="H22" s="116" t="e">
        <f t="shared" si="2"/>
        <v>#DIV/0!</v>
      </c>
      <c r="I22" s="116"/>
      <c r="K22" s="109" t="s">
        <v>1</v>
      </c>
      <c r="L22" s="117"/>
      <c r="M22" s="117"/>
      <c r="N22" s="117"/>
      <c r="O22" s="117"/>
      <c r="P22" s="117"/>
      <c r="Q22" s="116" t="e">
        <f t="shared" si="3"/>
        <v>#DIV/0!</v>
      </c>
      <c r="R22" s="116"/>
    </row>
    <row r="23" spans="2:18" s="61" customFormat="1" ht="16.5" customHeight="1">
      <c r="B23" s="109" t="s">
        <v>48</v>
      </c>
      <c r="C23" s="113"/>
      <c r="D23" s="113"/>
      <c r="E23" s="113"/>
      <c r="F23" s="113"/>
      <c r="G23" s="113"/>
      <c r="H23" s="116" t="e">
        <f t="shared" si="2"/>
        <v>#DIV/0!</v>
      </c>
      <c r="I23" s="116"/>
      <c r="K23" s="109" t="s">
        <v>48</v>
      </c>
      <c r="L23" s="117"/>
      <c r="M23" s="117"/>
      <c r="N23" s="117"/>
      <c r="O23" s="117"/>
      <c r="P23" s="117"/>
      <c r="Q23" s="116" t="e">
        <f t="shared" si="3"/>
        <v>#DIV/0!</v>
      </c>
      <c r="R23" s="116"/>
    </row>
    <row r="24" spans="2:18" s="61" customFormat="1" ht="16.5" customHeight="1">
      <c r="B24" s="109" t="s">
        <v>49</v>
      </c>
      <c r="C24" s="113"/>
      <c r="D24" s="113"/>
      <c r="E24" s="113"/>
      <c r="F24" s="113"/>
      <c r="G24" s="113"/>
      <c r="H24" s="116" t="e">
        <f t="shared" si="2"/>
        <v>#DIV/0!</v>
      </c>
      <c r="I24" s="116"/>
      <c r="K24" s="109" t="s">
        <v>49</v>
      </c>
      <c r="L24" s="117"/>
      <c r="M24" s="117"/>
      <c r="N24" s="117"/>
      <c r="O24" s="117"/>
      <c r="P24" s="117"/>
      <c r="Q24" s="116" t="e">
        <f t="shared" si="3"/>
        <v>#DIV/0!</v>
      </c>
      <c r="R24" s="116"/>
    </row>
    <row r="25" spans="2:18" ht="10.5">
      <c r="B25" s="8"/>
      <c r="C25" s="115"/>
      <c r="D25" s="115"/>
      <c r="E25" s="115"/>
      <c r="F25" s="115"/>
      <c r="G25" s="115"/>
      <c r="H25" s="115"/>
      <c r="I25" s="115"/>
      <c r="K25" s="8"/>
      <c r="L25" s="115"/>
      <c r="M25" s="115"/>
      <c r="N25" s="115"/>
      <c r="O25" s="115"/>
      <c r="P25" s="115"/>
      <c r="Q25" s="115"/>
      <c r="R25" s="115"/>
    </row>
    <row r="28" spans="2:18" ht="10.5">
      <c r="B28" s="68" t="s">
        <v>21</v>
      </c>
      <c r="C28" s="111"/>
      <c r="D28" s="111"/>
      <c r="E28" s="111"/>
      <c r="F28" s="111"/>
      <c r="G28" s="111"/>
      <c r="H28" s="111"/>
      <c r="I28" s="111"/>
      <c r="K28" s="68" t="s">
        <v>21</v>
      </c>
      <c r="L28" s="111"/>
      <c r="M28" s="111"/>
      <c r="N28" s="111"/>
      <c r="O28" s="111"/>
      <c r="P28" s="111"/>
      <c r="Q28" s="111"/>
      <c r="R28" s="111"/>
    </row>
    <row r="30" spans="2:18" ht="10.5">
      <c r="B30" s="62" t="s">
        <v>9</v>
      </c>
      <c r="K30" s="63" t="s">
        <v>10</v>
      </c>
      <c r="L30" s="118"/>
      <c r="M30" s="118"/>
      <c r="N30" s="118"/>
      <c r="O30" s="118"/>
      <c r="P30" s="118"/>
      <c r="Q30" s="118"/>
      <c r="R30" s="118"/>
    </row>
    <row r="31" spans="2:18" s="61" customFormat="1" ht="15.75" customHeight="1">
      <c r="B31" s="128" t="s">
        <v>0</v>
      </c>
      <c r="C31" s="86" t="s">
        <v>11</v>
      </c>
      <c r="D31" s="86" t="s">
        <v>12</v>
      </c>
      <c r="E31" s="86" t="s">
        <v>13</v>
      </c>
      <c r="F31" s="86" t="s">
        <v>14</v>
      </c>
      <c r="G31" s="86" t="s">
        <v>16</v>
      </c>
      <c r="H31" s="86" t="s">
        <v>18</v>
      </c>
      <c r="I31" s="86" t="s">
        <v>19</v>
      </c>
      <c r="K31" s="129" t="s">
        <v>0</v>
      </c>
      <c r="L31" s="86" t="s">
        <v>11</v>
      </c>
      <c r="M31" s="86" t="s">
        <v>12</v>
      </c>
      <c r="N31" s="86" t="s">
        <v>13</v>
      </c>
      <c r="O31" s="86" t="s">
        <v>14</v>
      </c>
      <c r="P31" s="86" t="s">
        <v>16</v>
      </c>
      <c r="Q31" s="86" t="s">
        <v>18</v>
      </c>
      <c r="R31" s="86" t="s">
        <v>19</v>
      </c>
    </row>
    <row r="32" spans="2:18" s="61" customFormat="1" ht="16.5" customHeight="1">
      <c r="B32" s="109" t="s">
        <v>46</v>
      </c>
      <c r="C32" s="113">
        <f>C8-C20</f>
        <v>9.0369939999999996E-3</v>
      </c>
      <c r="D32" s="113">
        <f t="shared" ref="D32:F32" si="4">D8-D20</f>
        <v>0.167638074</v>
      </c>
      <c r="E32" s="113">
        <f t="shared" si="4"/>
        <v>0.10431457899999999</v>
      </c>
      <c r="F32" s="113">
        <f t="shared" si="4"/>
        <v>5.1100837000000003E-2</v>
      </c>
      <c r="G32" s="117"/>
      <c r="H32" s="114">
        <f t="shared" ref="H32:H36" si="5">AVERAGE(C32:F32)</f>
        <v>8.3022620999999991E-2</v>
      </c>
      <c r="I32" s="114"/>
      <c r="K32" s="109" t="s">
        <v>46</v>
      </c>
      <c r="L32" s="113">
        <f>L8-L20</f>
        <v>5.8763061281999995</v>
      </c>
      <c r="M32" s="113">
        <f t="shared" ref="M32:O32" si="6">M8-M20</f>
        <v>11.116291978900001</v>
      </c>
      <c r="N32" s="113">
        <f t="shared" si="6"/>
        <v>7.3118514473000005</v>
      </c>
      <c r="O32" s="113">
        <f t="shared" si="6"/>
        <v>3.4177765696999995</v>
      </c>
      <c r="P32" s="113"/>
      <c r="Q32" s="114">
        <f t="shared" ref="Q32:Q36" si="7">AVERAGE(L32:O32)</f>
        <v>6.9305565310250001</v>
      </c>
      <c r="R32" s="114"/>
    </row>
    <row r="33" spans="2:18" s="61" customFormat="1" ht="16.5" customHeight="1">
      <c r="B33" s="109" t="s">
        <v>47</v>
      </c>
      <c r="C33" s="113">
        <f t="shared" ref="C33:F36" si="8">C9-C21</f>
        <v>0.32133759499999975</v>
      </c>
      <c r="D33" s="113">
        <f t="shared" si="8"/>
        <v>0.26059062000000005</v>
      </c>
      <c r="E33" s="113">
        <f t="shared" si="8"/>
        <v>0.34913647600000014</v>
      </c>
      <c r="F33" s="113">
        <f t="shared" si="8"/>
        <v>0.65455339899999976</v>
      </c>
      <c r="G33" s="117"/>
      <c r="H33" s="114">
        <f t="shared" si="5"/>
        <v>0.39640452249999991</v>
      </c>
      <c r="I33" s="114"/>
      <c r="K33" s="109" t="s">
        <v>47</v>
      </c>
      <c r="L33" s="113">
        <f t="shared" ref="L33:O36" si="9">L9-L21</f>
        <v>34.549219356099989</v>
      </c>
      <c r="M33" s="113">
        <f t="shared" si="9"/>
        <v>41.614644397699998</v>
      </c>
      <c r="N33" s="113">
        <f t="shared" si="9"/>
        <v>28.929930700499998</v>
      </c>
      <c r="O33" s="113">
        <f t="shared" si="9"/>
        <v>56.992556917400002</v>
      </c>
      <c r="P33" s="113"/>
      <c r="Q33" s="114">
        <f t="shared" si="7"/>
        <v>40.521587842924994</v>
      </c>
      <c r="R33" s="114"/>
    </row>
    <row r="34" spans="2:18" s="61" customFormat="1" ht="16.5" customHeight="1">
      <c r="B34" s="109" t="s">
        <v>1</v>
      </c>
      <c r="C34" s="113">
        <f t="shared" si="8"/>
        <v>1.1129836230000036</v>
      </c>
      <c r="D34" s="113">
        <f t="shared" si="8"/>
        <v>0.90855573599999639</v>
      </c>
      <c r="E34" s="113">
        <f t="shared" si="8"/>
        <v>1.1742721090000314</v>
      </c>
      <c r="F34" s="113">
        <f t="shared" si="8"/>
        <v>0.9724001470000172</v>
      </c>
      <c r="G34" s="117"/>
      <c r="H34" s="114">
        <f t="shared" si="5"/>
        <v>1.0420529037500121</v>
      </c>
      <c r="I34" s="114"/>
      <c r="K34" s="109" t="s">
        <v>1</v>
      </c>
      <c r="L34" s="113">
        <f t="shared" si="9"/>
        <v>97.756403288000328</v>
      </c>
      <c r="M34" s="113">
        <f t="shared" si="9"/>
        <v>83.841582939600059</v>
      </c>
      <c r="N34" s="113">
        <f t="shared" si="9"/>
        <v>107.04929095659978</v>
      </c>
      <c r="O34" s="113">
        <f t="shared" si="9"/>
        <v>96.774712322299862</v>
      </c>
      <c r="P34" s="113"/>
      <c r="Q34" s="114">
        <f t="shared" si="7"/>
        <v>96.35549737662501</v>
      </c>
      <c r="R34" s="114"/>
    </row>
    <row r="35" spans="2:18" s="61" customFormat="1" ht="16.5" customHeight="1">
      <c r="B35" s="109" t="s">
        <v>48</v>
      </c>
      <c r="C35" s="113">
        <f t="shared" si="8"/>
        <v>2.097609981999935</v>
      </c>
      <c r="D35" s="113">
        <f t="shared" si="8"/>
        <v>2.1759231370000274</v>
      </c>
      <c r="E35" s="113">
        <f t="shared" si="8"/>
        <v>1.9815038740000237</v>
      </c>
      <c r="F35" s="113">
        <f t="shared" si="8"/>
        <v>2.2431227770000235</v>
      </c>
      <c r="G35" s="117"/>
      <c r="H35" s="114">
        <f t="shared" si="5"/>
        <v>2.1245399425000024</v>
      </c>
      <c r="I35" s="114"/>
      <c r="K35" s="109" t="s">
        <v>48</v>
      </c>
      <c r="L35" s="113">
        <f t="shared" si="9"/>
        <v>227.68859505830034</v>
      </c>
      <c r="M35" s="113">
        <f t="shared" si="9"/>
        <v>242.72105532279974</v>
      </c>
      <c r="N35" s="113">
        <f t="shared" si="9"/>
        <v>213.87440088059969</v>
      </c>
      <c r="O35" s="113">
        <f t="shared" si="9"/>
        <v>279.53941304119968</v>
      </c>
      <c r="P35" s="113"/>
      <c r="Q35" s="114">
        <f t="shared" si="7"/>
        <v>240.95586607572483</v>
      </c>
      <c r="R35" s="114"/>
    </row>
    <row r="36" spans="2:18" s="61" customFormat="1" ht="16.5" customHeight="1">
      <c r="B36" s="109" t="s">
        <v>49</v>
      </c>
      <c r="C36" s="113">
        <f t="shared" si="8"/>
        <v>2.8053603009999466</v>
      </c>
      <c r="D36" s="113">
        <f t="shared" si="8"/>
        <v>2.5870989600000316</v>
      </c>
      <c r="E36" s="113">
        <f t="shared" si="8"/>
        <v>2.6476752370000276</v>
      </c>
      <c r="F36" s="113">
        <f t="shared" si="8"/>
        <v>3.3723707550000399</v>
      </c>
      <c r="G36" s="117"/>
      <c r="H36" s="114">
        <f t="shared" si="5"/>
        <v>2.8531263132500113</v>
      </c>
      <c r="I36" s="114"/>
      <c r="K36" s="109" t="s">
        <v>49</v>
      </c>
      <c r="L36" s="113">
        <f t="shared" si="9"/>
        <v>369.14875903720025</v>
      </c>
      <c r="M36" s="113">
        <f t="shared" si="9"/>
        <v>367.90112169789995</v>
      </c>
      <c r="N36" s="113">
        <f t="shared" si="9"/>
        <v>353.5396570323004</v>
      </c>
      <c r="O36" s="113">
        <f t="shared" si="9"/>
        <v>467.97894966440128</v>
      </c>
      <c r="P36" s="113"/>
      <c r="Q36" s="114">
        <f t="shared" si="7"/>
        <v>389.64212185795043</v>
      </c>
      <c r="R36" s="114"/>
    </row>
    <row r="37" spans="2:18" ht="10.5">
      <c r="B37" s="8"/>
      <c r="C37" s="115"/>
      <c r="D37" s="115"/>
      <c r="E37" s="115"/>
      <c r="F37" s="115"/>
      <c r="G37" s="115"/>
      <c r="H37" s="115"/>
      <c r="I37" s="115"/>
      <c r="K37" s="8"/>
      <c r="L37" s="115"/>
      <c r="M37" s="115"/>
      <c r="N37" s="115"/>
      <c r="O37" s="115"/>
      <c r="P37" s="115"/>
      <c r="Q37" s="115"/>
      <c r="R37" s="115"/>
    </row>
  </sheetData>
  <mergeCells count="1">
    <mergeCell ref="T7:W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H24"/>
  <sheetViews>
    <sheetView zoomScale="115" zoomScaleNormal="115" workbookViewId="0">
      <selection activeCell="D5" sqref="D5"/>
    </sheetView>
  </sheetViews>
  <sheetFormatPr defaultColWidth="9.1796875" defaultRowHeight="10"/>
  <cols>
    <col min="1" max="1" width="9.1796875" style="2"/>
    <col min="2" max="2" width="48.453125" style="2" customWidth="1"/>
    <col min="3" max="3" width="7.54296875" style="112" customWidth="1"/>
    <col min="4" max="5" width="20.453125" style="2" customWidth="1"/>
    <col min="6" max="8" width="15.54296875" style="2" customWidth="1"/>
    <col min="9" max="16384" width="9.1796875" style="2"/>
  </cols>
  <sheetData>
    <row r="2" spans="2:8" ht="15.5">
      <c r="B2" s="81" t="s">
        <v>33</v>
      </c>
      <c r="C2" s="110"/>
      <c r="D2" s="81"/>
      <c r="E2" s="81"/>
      <c r="F2" s="81"/>
      <c r="G2" s="81"/>
      <c r="H2" s="81"/>
    </row>
    <row r="4" spans="2:8" s="61" customFormat="1" ht="17.25" customHeight="1">
      <c r="B4" s="86" t="s">
        <v>94</v>
      </c>
      <c r="C4" s="86"/>
      <c r="D4" s="86" t="s">
        <v>50</v>
      </c>
      <c r="E4" s="86" t="s">
        <v>51</v>
      </c>
      <c r="F4" s="86" t="s">
        <v>52</v>
      </c>
      <c r="G4" s="86" t="s">
        <v>53</v>
      </c>
      <c r="H4" s="86" t="s">
        <v>1</v>
      </c>
    </row>
    <row r="5" spans="2:8" s="61" customFormat="1" ht="17.25" customHeight="1">
      <c r="B5" s="126" t="s">
        <v>79</v>
      </c>
      <c r="C5" s="64" t="s">
        <v>28</v>
      </c>
      <c r="D5" s="121">
        <f>'STPIS inputs'!D9</f>
        <v>48972.436287323668</v>
      </c>
      <c r="E5" s="121">
        <f>'STPIS inputs'!E9</f>
        <v>48497.260735244447</v>
      </c>
      <c r="F5" s="121">
        <f>'STPIS inputs'!F9</f>
        <v>38745.971230003532</v>
      </c>
      <c r="G5" s="121">
        <f>'STPIS inputs'!G9</f>
        <v>50395.955942673354</v>
      </c>
      <c r="H5" s="121">
        <f>'STPIS inputs'!H9</f>
        <v>33986.197433107285</v>
      </c>
    </row>
    <row r="6" spans="2:8" s="61" customFormat="1" ht="17.25" customHeight="1">
      <c r="B6" s="126" t="s">
        <v>95</v>
      </c>
      <c r="C6" s="64" t="s">
        <v>29</v>
      </c>
      <c r="D6" s="122">
        <f>'STPIS inputs'!D7</f>
        <v>148601.52157845916</v>
      </c>
      <c r="E6" s="122">
        <f>'STPIS inputs'!E7</f>
        <v>178975.03683091846</v>
      </c>
      <c r="F6" s="122">
        <f>'STPIS inputs'!F7</f>
        <v>705551.86035129963</v>
      </c>
      <c r="G6" s="122">
        <f>'STPIS inputs'!G7</f>
        <v>942193.30071307486</v>
      </c>
      <c r="H6" s="122">
        <f>'STPIS inputs'!H7</f>
        <v>2801090.9007243994</v>
      </c>
    </row>
    <row r="7" spans="2:8" s="61" customFormat="1" ht="17.25" customHeight="1">
      <c r="B7" s="126" t="s">
        <v>4</v>
      </c>
      <c r="C7" s="64" t="s">
        <v>2</v>
      </c>
      <c r="D7" s="123">
        <f>'STPIS inputs'!$C$4</f>
        <v>335392624.88756895</v>
      </c>
      <c r="E7" s="123">
        <f>'STPIS inputs'!$C$4</f>
        <v>335392624.88756895</v>
      </c>
      <c r="F7" s="123">
        <f>'STPIS inputs'!$C$4</f>
        <v>335392624.88756895</v>
      </c>
      <c r="G7" s="123">
        <f>'STPIS inputs'!$C$4</f>
        <v>335392624.88756895</v>
      </c>
      <c r="H7" s="123">
        <f>'STPIS inputs'!$C$4</f>
        <v>335392624.88756895</v>
      </c>
    </row>
    <row r="8" spans="2:8" s="61" customFormat="1" ht="17.25" customHeight="1">
      <c r="B8" s="126" t="s">
        <v>5</v>
      </c>
      <c r="C8" s="64" t="s">
        <v>30</v>
      </c>
      <c r="D8" s="124">
        <f>+'Annual performance and targets'!H32</f>
        <v>8.3022620999999991E-2</v>
      </c>
      <c r="E8" s="124">
        <f>'Annual performance and targets'!H33</f>
        <v>0.39640452249999991</v>
      </c>
      <c r="F8" s="124">
        <f>'Annual performance and targets'!H35</f>
        <v>2.1245399425000024</v>
      </c>
      <c r="G8" s="124">
        <f>'Annual performance and targets'!H36</f>
        <v>2.8531263132500113</v>
      </c>
      <c r="H8" s="124">
        <f>'Annual performance and targets'!H34</f>
        <v>1.0420529037500121</v>
      </c>
    </row>
    <row r="9" spans="2:8" s="61" customFormat="1" ht="17.25" customHeight="1">
      <c r="B9" s="126" t="s">
        <v>6</v>
      </c>
      <c r="C9" s="64" t="s">
        <v>31</v>
      </c>
      <c r="D9" s="124">
        <f>'Annual performance and targets'!Q32</f>
        <v>6.9305565310250001</v>
      </c>
      <c r="E9" s="124">
        <f>'Annual performance and targets'!Q33</f>
        <v>40.521587842924994</v>
      </c>
      <c r="F9" s="124">
        <f>'Annual performance and targets'!Q35</f>
        <v>240.95586607572483</v>
      </c>
      <c r="G9" s="124">
        <f>'Annual performance and targets'!Q36</f>
        <v>389.64212185795043</v>
      </c>
      <c r="H9" s="124">
        <f>'Annual performance and targets'!Q34</f>
        <v>96.35549737662501</v>
      </c>
    </row>
    <row r="10" spans="2:8" s="61" customFormat="1" ht="17.25" customHeight="1">
      <c r="B10" s="126" t="s">
        <v>8</v>
      </c>
      <c r="C10" s="64" t="s">
        <v>32</v>
      </c>
      <c r="D10" s="102">
        <v>1.5</v>
      </c>
      <c r="E10" s="102">
        <v>1.5</v>
      </c>
      <c r="F10" s="102">
        <v>1.5</v>
      </c>
      <c r="G10" s="102">
        <v>1.5</v>
      </c>
      <c r="H10" s="102">
        <v>1.5</v>
      </c>
    </row>
    <row r="11" spans="2:8" s="61" customFormat="1" ht="17.25" customHeight="1">
      <c r="B11" s="126" t="s">
        <v>15</v>
      </c>
      <c r="C11" s="64" t="s">
        <v>7</v>
      </c>
      <c r="D11" s="125">
        <f>'STPIS inputs'!$C$11</f>
        <v>0.12564543889845092</v>
      </c>
      <c r="E11" s="125">
        <f>'STPIS inputs'!$C$11</f>
        <v>0.12564543889845092</v>
      </c>
      <c r="F11" s="125">
        <f>'STPIS inputs'!$C$11</f>
        <v>0.12564543889845092</v>
      </c>
      <c r="G11" s="125">
        <f>'STPIS inputs'!$C$11</f>
        <v>0.12564543889845092</v>
      </c>
      <c r="H11" s="125">
        <f>'STPIS inputs'!$C$11</f>
        <v>0.12564543889845092</v>
      </c>
    </row>
    <row r="12" spans="2:8" s="61" customFormat="1" ht="17.25" customHeight="1">
      <c r="B12" s="126" t="s">
        <v>34</v>
      </c>
      <c r="C12" s="64"/>
      <c r="D12" s="125">
        <f>((D5*(1+D11)*(1-(1/(1+D10)))*D6)/D7)/(365.25*24*60)*100</f>
        <v>2.7862597894791471E-3</v>
      </c>
      <c r="E12" s="125">
        <f t="shared" ref="E12:G12" si="0">((E5*(1+E11)*(1-(1/(1+E10)))*E6)/E7)/(365.25*24*60)*100</f>
        <v>3.3231987107983081E-3</v>
      </c>
      <c r="F12" s="125">
        <f t="shared" si="0"/>
        <v>1.046651581792964E-2</v>
      </c>
      <c r="G12" s="125">
        <f t="shared" si="0"/>
        <v>1.81795170060568E-2</v>
      </c>
      <c r="H12" s="125">
        <f t="shared" ref="H12" si="1">((H5*(1+H11)*(1-(1/(1+H10)))*H6)/H7)/(365.25*24*60)*100</f>
        <v>3.6448228064334676E-2</v>
      </c>
    </row>
    <row r="13" spans="2:8" s="61" customFormat="1" ht="17.25" customHeight="1">
      <c r="B13" s="126" t="s">
        <v>35</v>
      </c>
      <c r="C13" s="64"/>
      <c r="D13" s="125">
        <f>((((((D5*(1+D11))/(1+D10))*D6))/D7)/(365.25*24*60))*(D9/D8)*100</f>
        <v>0.15506079948264584</v>
      </c>
      <c r="E13" s="125">
        <f t="shared" ref="E13:G13" si="2">((((((E5*(1+E11))/(1+E10))*E6))/E7)/(365.25*24*60))*(E9/E8)*100</f>
        <v>0.2264711607053016</v>
      </c>
      <c r="F13" s="125">
        <f t="shared" si="2"/>
        <v>0.79137709871651629</v>
      </c>
      <c r="G13" s="125">
        <f t="shared" si="2"/>
        <v>1.6551447553505638</v>
      </c>
      <c r="H13" s="125">
        <f t="shared" ref="H13" si="3">((((((H5*(1+H11))/(1+H10))*H6))/H7)/(365.25*24*60))*(H9/H8)*100</f>
        <v>2.2468386720079958</v>
      </c>
    </row>
    <row r="16" spans="2:8">
      <c r="C16" s="127"/>
    </row>
    <row r="17" spans="2:8">
      <c r="C17" s="127"/>
      <c r="D17" s="48"/>
      <c r="E17" s="48"/>
      <c r="F17" s="48"/>
      <c r="G17" s="48"/>
      <c r="H17" s="48"/>
    </row>
    <row r="18" spans="2:8">
      <c r="D18" s="48"/>
      <c r="E18" s="48"/>
      <c r="F18" s="48"/>
      <c r="G18" s="48"/>
      <c r="H18" s="48"/>
    </row>
    <row r="19" spans="2:8">
      <c r="B19" s="4"/>
      <c r="D19" s="48"/>
      <c r="E19" s="48"/>
      <c r="F19" s="48"/>
      <c r="G19" s="48"/>
      <c r="H19" s="48"/>
    </row>
    <row r="20" spans="2:8">
      <c r="B20" s="4"/>
    </row>
    <row r="21" spans="2:8">
      <c r="B21" s="5"/>
    </row>
    <row r="22" spans="2:8">
      <c r="B22" s="7"/>
    </row>
    <row r="23" spans="2:8">
      <c r="B23" s="4"/>
    </row>
    <row r="24" spans="2:8">
      <c r="B24" s="6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BA0F2-B06D-4DAC-A5D8-C8EF332ED38D}">
  <dimension ref="A1:AH4"/>
  <sheetViews>
    <sheetView workbookViewId="0">
      <selection activeCell="L30" sqref="L30"/>
    </sheetView>
  </sheetViews>
  <sheetFormatPr defaultRowHeight="14.5"/>
  <sheetData>
    <row r="1" spans="1:34" s="93" customFormat="1" ht="25.5" customHeight="1">
      <c r="A1" s="87"/>
      <c r="B1" s="88" t="s">
        <v>86</v>
      </c>
      <c r="C1" s="87"/>
      <c r="D1" s="87"/>
      <c r="E1" s="87"/>
      <c r="F1" s="87"/>
      <c r="G1" s="87"/>
      <c r="H1" s="87"/>
      <c r="I1" s="87"/>
      <c r="J1" s="69"/>
      <c r="K1" s="69"/>
      <c r="L1" s="69"/>
      <c r="M1" s="69"/>
      <c r="N1" s="89"/>
      <c r="O1" s="90"/>
      <c r="P1" s="89"/>
      <c r="Q1" s="90"/>
      <c r="R1" s="89"/>
      <c r="S1" s="89"/>
      <c r="T1" s="89"/>
      <c r="U1" s="89"/>
      <c r="V1" s="89"/>
      <c r="W1" s="89"/>
      <c r="X1" s="89"/>
      <c r="Y1" s="89"/>
      <c r="Z1" s="90"/>
      <c r="AA1" s="90"/>
      <c r="AB1" s="91"/>
      <c r="AC1" s="91"/>
      <c r="AD1" s="91"/>
      <c r="AE1" s="91"/>
      <c r="AF1" s="91"/>
      <c r="AG1" s="92"/>
      <c r="AH1" s="92"/>
    </row>
    <row r="2" spans="1:34" s="70" customFormat="1" ht="10">
      <c r="B2" s="71"/>
      <c r="C2" s="72"/>
      <c r="D2" s="72"/>
      <c r="E2" s="72"/>
      <c r="F2" s="73"/>
      <c r="G2" s="74"/>
      <c r="H2" s="75"/>
    </row>
    <row r="3" spans="1:34" s="70" customFormat="1" ht="10.5">
      <c r="B3" s="76" t="s">
        <v>87</v>
      </c>
      <c r="C3" s="77" t="s">
        <v>88</v>
      </c>
      <c r="D3" s="77" t="s">
        <v>89</v>
      </c>
      <c r="E3" s="78"/>
      <c r="F3" s="79"/>
      <c r="G3" s="80"/>
      <c r="H3" s="75"/>
    </row>
    <row r="4" spans="1:34" s="70" customFormat="1" ht="10">
      <c r="B4" s="71" t="s">
        <v>90</v>
      </c>
      <c r="D4" s="70" t="s">
        <v>91</v>
      </c>
      <c r="E4" s="72"/>
      <c r="F4" s="73"/>
      <c r="G4" s="74"/>
      <c r="H4" s="7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p r o p e r t i e s   x m l n s = " h t t p : / / w w w . i m a n a g e . c o m / w o r k / x m l s c h e m a " >  
     < d o c u m e n t i d > A C C C a n d A E R ! 1 5 8 0 7 3 0 7 . 1 < / d o c u m e n t i d >  
     < s e n d e r i d > L J O R G < / s e n d e r i d >  
     < s e n d e r e m a i l > L Y N L E Y . J O R G E N S E N @ A E R . G O V . A U < / s e n d e r e m a i l >  
     < l a s t m o d i f i e d > 2 0 2 3 - 0 9 - 2 0 T 0 8 : 2 6 : 0 1 . 0 0 0 0 0 0 0 + 1 0 : 0 0 < / l a s t m o d i f i e d >  
     < d a t a b a s e > A C C C a n d A E R < / d a t a b a s e >  
 < / p r o p e r t i e s > 
</file>

<file path=customXml/itemProps1.xml><?xml version="1.0" encoding="utf-8"?>
<ds:datastoreItem xmlns:ds="http://schemas.openxmlformats.org/officeDocument/2006/customXml" ds:itemID="{E1428B35-2E65-4056-815E-906D90003C74}">
  <ds:schemaRefs>
    <ds:schemaRef ds:uri="http://www.imanage.com/work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Output | Decision tables</vt:lpstr>
      <vt:lpstr>STPIS inputs</vt:lpstr>
      <vt:lpstr>Annual performance and targets</vt:lpstr>
      <vt:lpstr>Incentive rates calc</vt:lpstr>
      <vt:lpstr>Change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2023-09-25T06:51:44Z</dcterms:created>
  <dcterms:modified xsi:type="dcterms:W3CDTF">2023-09-25T06:52:10Z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