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filterPrivacy="1" codeName="ThisWorkbook" defaultThemeVersion="124226"/>
  <xr:revisionPtr revIDLastSave="0" documentId="13_ncr:1_{CAE713D2-2551-440C-AA41-AD87CAC029D1}" xr6:coauthVersionLast="47" xr6:coauthVersionMax="47" xr10:uidLastSave="{00000000-0000-0000-0000-000000000000}"/>
  <bookViews>
    <workbookView xWindow="28680" yWindow="-120" windowWidth="29040" windowHeight="15840" tabRatio="691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Nominal_to_Real">'[1]Input|Rate of change'!$C$23:$C$26</definedName>
    <definedName name="percent" localSheetId="5">'[1]Lookup|Tables'!$G$14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3" l="1"/>
  <c r="O14" i="13"/>
  <c r="N14" i="13"/>
  <c r="M14" i="13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18" i="4" l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12" i="3"/>
  <c r="I16" i="3"/>
  <c r="I12" i="3"/>
  <c r="L16" i="3"/>
  <c r="L12" i="3"/>
  <c r="K16" i="3"/>
  <c r="K12" i="3"/>
  <c r="J16" i="3"/>
  <c r="J12" i="3"/>
  <c r="C15" i="13" l="1"/>
  <c r="C10" i="13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B1" i="5"/>
  <c r="B1" i="3"/>
  <c r="B1" i="13"/>
  <c r="B1" i="4"/>
  <c r="I23" i="3" l="1"/>
  <c r="J23" i="3" l="1"/>
  <c r="D8" i="4" l="1"/>
  <c r="E8" i="4" l="1"/>
  <c r="H8" i="4"/>
  <c r="F8" i="4"/>
  <c r="G8" i="4"/>
  <c r="H22" i="13" l="1"/>
  <c r="E9" i="4" s="1"/>
  <c r="E11" i="4" s="1"/>
  <c r="I22" i="13"/>
  <c r="F9" i="4" s="1"/>
  <c r="F11" i="4" s="1"/>
  <c r="G10" i="13" l="1"/>
  <c r="H10" i="13" s="1"/>
  <c r="I10" i="13" s="1"/>
  <c r="K22" i="13"/>
  <c r="H9" i="4" s="1"/>
  <c r="G19" i="4" s="1"/>
  <c r="J22" i="13"/>
  <c r="G9" i="4" s="1"/>
  <c r="H23" i="3" l="1"/>
  <c r="F19" i="4"/>
  <c r="E19" i="4" s="1"/>
  <c r="D19" i="4" s="1"/>
  <c r="D21" i="4" s="1"/>
  <c r="J10" i="13"/>
  <c r="K10" i="13" s="1"/>
  <c r="G15" i="13"/>
  <c r="G22" i="13"/>
  <c r="D9" i="4" s="1"/>
  <c r="D11" i="4" l="1"/>
  <c r="H15" i="13"/>
  <c r="D10" i="4"/>
  <c r="D12" i="4" l="1"/>
  <c r="I15" i="13"/>
  <c r="E10" i="4"/>
  <c r="E12" i="4" s="1"/>
  <c r="G13" i="4"/>
  <c r="E13" i="4"/>
  <c r="E18" i="4" s="1"/>
  <c r="E21" i="4" s="1"/>
  <c r="F13" i="4"/>
  <c r="H13" i="4"/>
  <c r="D20" i="4"/>
  <c r="H14" i="4" l="1"/>
  <c r="G14" i="4"/>
  <c r="E20" i="4"/>
  <c r="F14" i="4"/>
  <c r="F18" i="4" s="1"/>
  <c r="F21" i="4" s="1"/>
  <c r="J15" i="13"/>
  <c r="F10" i="4"/>
  <c r="F12" i="4" s="1"/>
  <c r="F20" i="4" l="1"/>
  <c r="G15" i="4"/>
  <c r="G18" i="4" s="1"/>
  <c r="G21" i="4" s="1"/>
  <c r="H15" i="4"/>
  <c r="K15" i="13"/>
  <c r="H10" i="4" s="1"/>
  <c r="G10" i="4"/>
  <c r="M9" i="13" l="1"/>
  <c r="N9" i="13" s="1"/>
  <c r="O9" i="13" s="1"/>
  <c r="P9" i="13" s="1"/>
  <c r="L10" i="13"/>
  <c r="H30" i="3"/>
  <c r="H31" i="3" l="1"/>
  <c r="D26" i="4" s="1"/>
  <c r="I30" i="3"/>
  <c r="M10" i="13"/>
  <c r="L15" i="13"/>
  <c r="N10" i="13" l="1"/>
  <c r="J30" i="3"/>
  <c r="I31" i="3"/>
  <c r="E26" i="4" s="1"/>
  <c r="M15" i="13"/>
  <c r="M22" i="13" l="1"/>
  <c r="E25" i="4" s="1"/>
  <c r="J31" i="3"/>
  <c r="F26" i="4" s="1"/>
  <c r="K30" i="3"/>
  <c r="O10" i="13"/>
  <c r="N15" i="13"/>
  <c r="D41" i="4"/>
  <c r="L22" i="13"/>
  <c r="D25" i="4" s="1"/>
  <c r="D27" i="4" s="1"/>
  <c r="D28" i="4" s="1"/>
  <c r="N22" i="13"/>
  <c r="F25" i="4" s="1"/>
  <c r="E41" i="4" l="1"/>
  <c r="F41" i="4" s="1"/>
  <c r="G41" i="4" s="1"/>
  <c r="H41" i="4" s="1"/>
  <c r="F27" i="4"/>
  <c r="F28" i="4" s="1"/>
  <c r="P10" i="13"/>
  <c r="L30" i="3"/>
  <c r="K31" i="3"/>
  <c r="G26" i="4" s="1"/>
  <c r="P22" i="13"/>
  <c r="H25" i="4" s="1"/>
  <c r="O22" i="13"/>
  <c r="G25" i="4" s="1"/>
  <c r="G27" i="4" s="1"/>
  <c r="O15" i="13"/>
  <c r="E27" i="4"/>
  <c r="E28" i="4" s="1"/>
  <c r="P15" i="13" l="1"/>
  <c r="G28" i="4"/>
  <c r="H27" i="4"/>
  <c r="L31" i="3"/>
  <c r="H26" i="4" s="1"/>
  <c r="H28" i="4" l="1"/>
  <c r="K23" i="3"/>
  <c r="G11" i="4" s="1"/>
  <c r="L23" i="3" l="1"/>
  <c r="H11" i="4" s="1"/>
  <c r="G12" i="4"/>
  <c r="H12" i="4" l="1"/>
  <c r="G20" i="4"/>
  <c r="H16" i="4"/>
  <c r="H18" i="4" s="1"/>
  <c r="H21" i="4" s="1"/>
  <c r="D35" i="4" s="1"/>
  <c r="H20" i="4" l="1"/>
  <c r="D31" i="4" l="1"/>
  <c r="D33" i="4" s="1"/>
  <c r="D34" i="4" l="1"/>
  <c r="D36" i="4" s="1"/>
  <c r="D42" i="4" s="1"/>
  <c r="J8" i="10" l="1"/>
  <c r="E42" i="4"/>
  <c r="F42" i="4" l="1"/>
  <c r="K8" i="10"/>
  <c r="L8" i="10" l="1"/>
  <c r="G42" i="4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<sst xmlns="http://schemas.openxmlformats.org/spreadsheetml/2006/main" count="202" uniqueCount="107">
  <si>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</si>
  <si>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</si>
  <si>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</si>
  <si>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</si>
  <si>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</si>
  <si>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</si>
  <si>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</si>
  <si>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</si>
  <si>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</si>
  <si>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</si>
  <si>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</si>
  <si>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</si>
  <si>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</si>
  <si>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</si>
  <si>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</si>
  <si>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</si>
  <si>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</si>
  <si>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</si>
  <si>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</si>
  <si>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</si>
  <si>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</si>
  <si>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</si>
  <si>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</si>
  <si>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</si>
  <si>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</si>
  <si>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</si>
  <si>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</si>
  <si>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</si>
  <si>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</si>
  <si>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</si>
  <si>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</si>
  <si>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</si>
  <si>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</si>
  <si>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</si>
  <si>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</si>
  <si>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</si>
  <si>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</si>
  <si>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</si>
  <si>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</si>
  <si>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</si>
  <si>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</si>
  <si>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</si>
  <si>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</si>
  <si>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</si>
  <si>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</si>
  <si>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</si>
  <si>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</si>
  <si>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</si>
  <si>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</si>
  <si>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</si>
  <si>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</si>
  <si>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</si>
  <si>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</si>
  <si>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</si>
  <si>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</si>
  <si>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</si>
  <si>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</si>
  <si>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</si>
  <si>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</si>
  <si>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</si>
  <si>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</si>
  <si>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</si>
  <si>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</si>
  <si>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</si>
  <si>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</si>
  <si>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</si>
  <si>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</si>
  <si>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</si>
  <si>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</si>
  <si>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</si>
  <si>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</si>
  <si>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</si>
  <si>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</si>
  <si>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</si>
  <si>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</si>
  <si>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</si>
  <si>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</si>
  <si>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</si>
  <si>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</si>
  <si>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</si>
  <si>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</si>
  <si>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</si>
  <si>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</si>
  <si>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</si>
  <si>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</si>
  <si>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</si>
  <si>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</si>
  <si>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</si>
  <si>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</si>
  <si>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</si>
  <si>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</si>
  <si>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</si>
  <si>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</si>
  <si>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</si>
  <si>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</si>
  <si>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</si>
  <si>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</si>
  <si>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</si>
  <si>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</si>
  <si>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</si>
  <si>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</si>
  <si>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</si>
  <si>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</si>
  <si>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</si>
  <si>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Power and Water</t>
  </si>
  <si>
    <t>Regulatory Proposal</t>
  </si>
  <si>
    <t>Modelling team update/reviewed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</si>
</sst>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8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2" fontId="91" fillId="3" borderId="0" xfId="0" applyNumberFormat="1" applyFont="1" applyFill="1"/>
    <xf numFmtId="0" fontId="100" fillId="56" borderId="0" xfId="265" applyFont="1" applyFill="1" applyAlignment="1">
      <alignment horizontal="center" vertical="center" wrapText="1"/>
    </xf>
    <xf numFmtId="10" fontId="24" fillId="56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2" fontId="24" fillId="57" borderId="24" xfId="1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zoomScaleNormal="10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Power and Water 2024-29 Regulatory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78</v>
      </c>
      <c r="D8" s="26" t="s">
        <v>77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54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57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79</v>
      </c>
      <c r="D11" s="26" t="s">
        <v>53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tabSelected="1" zoomScaleNormal="100" workbookViewId="0"/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20.54296875" style="11" customWidth="1"/>
    <col min="5" max="8" width="12.7265625" style="11" customWidth="1"/>
    <col min="9" max="9" width="9.453125" style="11" customWidth="1"/>
    <col min="10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Power and Water 2024-29 Regulatory Proposal - Capital expenditure sharing scheme model</v>
      </c>
      <c r="F1" s="92"/>
      <c r="G1" s="93" t="s">
        <v>47</v>
      </c>
      <c r="H1" s="130" t="s">
        <v>48</v>
      </c>
      <c r="I1" s="134" t="s">
        <v>36</v>
      </c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1" t="s">
        <v>104</v>
      </c>
      <c r="J6" s="69"/>
      <c r="K6" s="69"/>
      <c r="L6" s="69"/>
      <c r="M6" s="69"/>
    </row>
    <row r="7" spans="1:13" s="60" customFormat="1" ht="11.25" customHeight="1">
      <c r="C7" s="59" t="s">
        <v>87</v>
      </c>
      <c r="D7" s="131" t="s">
        <v>105</v>
      </c>
      <c r="I7" s="69"/>
      <c r="J7" s="69"/>
      <c r="K7" s="69"/>
      <c r="L7" s="69"/>
    </row>
    <row r="8" spans="1:13" s="60" customFormat="1" ht="11.25" customHeight="1">
      <c r="C8" s="59" t="s">
        <v>88</v>
      </c>
      <c r="D8" s="131" t="s">
        <v>100</v>
      </c>
      <c r="J8" s="69"/>
      <c r="K8" s="69"/>
      <c r="L8" s="69"/>
      <c r="M8" s="69"/>
    </row>
    <row r="9" spans="1:13" s="60" customFormat="1" ht="11.25" customHeight="1">
      <c r="C9" s="159" t="s">
        <v>98</v>
      </c>
      <c r="D9" s="131" t="s">
        <v>101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86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62</v>
      </c>
      <c r="E12" s="61" t="s">
        <v>63</v>
      </c>
      <c r="F12" s="61" t="s">
        <v>64</v>
      </c>
      <c r="G12" s="61" t="s">
        <v>65</v>
      </c>
      <c r="H12" s="61" t="s">
        <v>66</v>
      </c>
      <c r="J12" s="69"/>
      <c r="K12" s="69"/>
      <c r="L12" s="69"/>
      <c r="M12" s="69"/>
    </row>
    <row r="13" spans="1:13" s="60" customFormat="1" ht="11.25" customHeight="1">
      <c r="C13" s="59" t="s">
        <v>60</v>
      </c>
      <c r="D13" s="158" t="str">
        <f t="shared" ref="D13:F13" si="0">IF(LEN(E13)&gt;4,CONCATENATE(LEFT(E13,4)-1&amp;"–"&amp;IF(RIGHT(E13,2)="00","99",IF(RIGHT(E13,2)-1&lt;10,"0","")&amp;RIGHT(E13,2)-1)),E13-1)</f>
        <v>2019–20</v>
      </c>
      <c r="E13" s="158" t="str">
        <f t="shared" si="0"/>
        <v>2020–21</v>
      </c>
      <c r="F13" s="158" t="str">
        <f t="shared" si="0"/>
        <v>2021–22</v>
      </c>
      <c r="G13" s="158" t="str">
        <f>IF(LEN(H13)&gt;4,CONCATENATE(LEFT(H13,4)-1&amp;"–"&amp;IF(RIGHT(H13,2)="00","99",IF(RIGHT(H13,2)-1&lt;10,"0","")&amp;RIGHT(H13,2)-1)),H13-1)</f>
        <v>2022–23</v>
      </c>
      <c r="H13" s="158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1" t="s">
        <v>8</v>
      </c>
      <c r="E14" s="131" t="s">
        <v>8</v>
      </c>
      <c r="F14" s="131" t="s">
        <v>8</v>
      </c>
      <c r="G14" s="131" t="s">
        <v>8</v>
      </c>
      <c r="H14" s="131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1" t="s">
        <v>7</v>
      </c>
      <c r="E15" s="131" t="s">
        <v>7</v>
      </c>
      <c r="F15" s="131" t="s">
        <v>7</v>
      </c>
      <c r="G15" s="131" t="s">
        <v>29</v>
      </c>
      <c r="H15" s="131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62</v>
      </c>
      <c r="E17" s="61" t="s">
        <v>63</v>
      </c>
      <c r="F17" s="61" t="s">
        <v>64</v>
      </c>
      <c r="G17" s="61" t="s">
        <v>65</v>
      </c>
      <c r="H17" s="61" t="s">
        <v>66</v>
      </c>
      <c r="J17" s="69"/>
      <c r="K17" s="69"/>
      <c r="L17" s="69"/>
      <c r="M17" s="69"/>
    </row>
    <row r="18" spans="1:13" s="60" customFormat="1" ht="11.25" customHeight="1">
      <c r="C18" s="59" t="s">
        <v>61</v>
      </c>
      <c r="D18" s="170" t="str">
        <f>D9</f>
        <v>2024-25</v>
      </c>
      <c r="E18" s="170" t="str">
        <f>IF(LEN(D18)&gt;4,CONCATENATE(LEFT(D18,4)+1&amp;"–"&amp;IF(RIGHT(D18,2)+1&gt;9,"","0")&amp;RIGHT(D18,2)+1),D18+1)</f>
        <v>2025–26</v>
      </c>
      <c r="F18" s="170" t="str">
        <f t="shared" ref="F18:H18" si="1">IF(LEN(E18)&gt;4,CONCATENATE(LEFT(E18,4)+1&amp;"–"&amp;IF(RIGHT(E18,2)+1&gt;9,"","0")&amp;RIGHT(E18,2)+1),E18+1)</f>
        <v>2026–27</v>
      </c>
      <c r="G18" s="170" t="str">
        <f t="shared" si="1"/>
        <v>2027–28</v>
      </c>
      <c r="H18" s="170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K1" sqref="K1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15.5429687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Power and Water 2024-29 Regulatory Proposal - Capital expenditure sharing scheme model</v>
      </c>
      <c r="D1" s="3"/>
      <c r="E1" s="3"/>
      <c r="F1" s="3"/>
      <c r="G1" s="92"/>
      <c r="H1" s="93" t="s">
        <v>47</v>
      </c>
      <c r="I1" s="130" t="s">
        <v>48</v>
      </c>
      <c r="J1" s="134" t="s">
        <v>36</v>
      </c>
      <c r="K1" s="181" t="s">
        <v>106</v>
      </c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89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51</v>
      </c>
      <c r="F6" s="65"/>
      <c r="N6" s="2"/>
    </row>
    <row r="7" spans="1:20" ht="11.25" customHeight="1">
      <c r="A7" s="2"/>
      <c r="B7" s="2"/>
      <c r="C7" s="13"/>
      <c r="D7" s="69"/>
      <c r="E7" s="69"/>
      <c r="F7" s="147" t="str">
        <f>IF(LEN(G7)&gt;4,CONCATENATE(LEFT(G7,4)-1&amp;"–"&amp;IF(RIGHT(G7,2)="00","99",IF(RIGHT(G7,2)-1&lt;10,"0","")&amp;RIGHT(G7,2)-1)),G7-1)</f>
        <v>2018–19</v>
      </c>
      <c r="G7" s="146" t="str">
        <f>'Input | General'!D13</f>
        <v>2019–20</v>
      </c>
      <c r="H7" s="146" t="str">
        <f>'Input | General'!E13</f>
        <v>2020–21</v>
      </c>
      <c r="I7" s="146" t="str">
        <f>'Input | General'!F13</f>
        <v>2021–22</v>
      </c>
      <c r="J7" s="146" t="str">
        <f>'Input | General'!G13</f>
        <v>2022–23</v>
      </c>
      <c r="K7" s="146" t="str">
        <f>'Input | General'!H13</f>
        <v>2023–24</v>
      </c>
      <c r="L7" s="146" t="str">
        <f>'Input | General'!D18</f>
        <v>2024-25</v>
      </c>
      <c r="M7" s="146" t="str">
        <f>'Input | General'!E18</f>
        <v>2025–26</v>
      </c>
      <c r="N7" s="146" t="str">
        <f>'Input | General'!F18</f>
        <v>2026–27</v>
      </c>
      <c r="O7" s="146" t="str">
        <f>'Input | General'!G18</f>
        <v>2027–28</v>
      </c>
      <c r="P7" s="146" t="str">
        <f>'Input | General'!H18</f>
        <v>2028–29</v>
      </c>
    </row>
    <row r="8" spans="1:20" ht="11.25" customHeight="1">
      <c r="A8" s="2"/>
      <c r="B8" s="2"/>
      <c r="C8" s="70" t="s">
        <v>80</v>
      </c>
      <c r="D8" s="68" t="s">
        <v>99</v>
      </c>
      <c r="E8" s="68" t="s">
        <v>50</v>
      </c>
      <c r="F8" s="68"/>
      <c r="G8" s="169">
        <v>1.8404907975460238E-2</v>
      </c>
      <c r="H8" s="169">
        <v>8.6058519793459354E-3</v>
      </c>
      <c r="I8" s="169">
        <v>3.4982935153583528E-2</v>
      </c>
      <c r="J8" s="169">
        <v>0.08</v>
      </c>
      <c r="K8" s="169">
        <v>4.7E-2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81</v>
      </c>
      <c r="D9" s="68" t="s">
        <v>99</v>
      </c>
      <c r="E9" s="68" t="s">
        <v>50</v>
      </c>
      <c r="F9" s="68"/>
      <c r="G9" s="112"/>
      <c r="H9" s="112"/>
      <c r="I9" s="112"/>
      <c r="J9" s="112"/>
      <c r="K9" s="112"/>
      <c r="L9" s="169">
        <v>2.9196400498682218E-2</v>
      </c>
      <c r="M9" s="173">
        <f t="shared" ref="M9:P9" si="0">L9</f>
        <v>2.9196400498682218E-2</v>
      </c>
      <c r="N9" s="173">
        <f t="shared" si="0"/>
        <v>2.9196400498682218E-2</v>
      </c>
      <c r="O9" s="173">
        <f t="shared" si="0"/>
        <v>2.9196400498682218E-2</v>
      </c>
      <c r="P9" s="173">
        <f t="shared" si="0"/>
        <v>2.9196400498682218E-2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59</v>
      </c>
      <c r="E10" s="68" t="s">
        <v>30</v>
      </c>
      <c r="F10" s="171">
        <v>1</v>
      </c>
      <c r="G10" s="172">
        <f>IF(G7&lt;&gt;"",(F10*(1+G8)),"")</f>
        <v>1.0184049079754602</v>
      </c>
      <c r="H10" s="172">
        <f>IF(H7&lt;&gt;"",(G10*(1+H8)),"")</f>
        <v>1.0271691498685365</v>
      </c>
      <c r="I10" s="172">
        <f>IF(I7&lt;&gt;"",(H10*(1+I8)),"")</f>
        <v>1.0631025416301489</v>
      </c>
      <c r="J10" s="172">
        <f>IF(J7&lt;&gt;"",(I10*(1+J8)),"")</f>
        <v>1.148150744960561</v>
      </c>
      <c r="K10" s="172">
        <f>IF(K7&lt;&gt;"",(J10*(1+K8)),"")</f>
        <v>1.2021138299737073</v>
      </c>
      <c r="L10" s="172">
        <f t="shared" ref="L10:P10" si="1">IF(L7&lt;&gt;"",(K10*(1+L9)),"")</f>
        <v>1.2372112267986244</v>
      </c>
      <c r="M10" s="172">
        <f t="shared" si="1"/>
        <v>1.273333341277703</v>
      </c>
      <c r="N10" s="172">
        <f t="shared" si="1"/>
        <v>1.3105100914779721</v>
      </c>
      <c r="O10" s="172">
        <f t="shared" si="1"/>
        <v>1.3487722689663277</v>
      </c>
      <c r="P10" s="172">
        <f t="shared" si="1"/>
        <v>1.388151564312585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80</v>
      </c>
      <c r="D13" s="68" t="s">
        <v>99</v>
      </c>
      <c r="E13" s="68" t="s">
        <v>50</v>
      </c>
      <c r="F13" s="68"/>
      <c r="G13" s="182">
        <v>1.8404907975460238E-2</v>
      </c>
      <c r="H13" s="182">
        <v>8.6058519793459354E-3</v>
      </c>
      <c r="I13" s="182">
        <v>3.4982935153583528E-2</v>
      </c>
      <c r="J13" s="182">
        <v>7.8318219291014124E-2</v>
      </c>
      <c r="K13" s="182">
        <v>4.1000000000000002E-2</v>
      </c>
      <c r="L13" s="161"/>
      <c r="M13" s="161"/>
      <c r="N13" s="161"/>
      <c r="O13" s="161"/>
      <c r="P13" s="161"/>
    </row>
    <row r="14" spans="1:20" ht="11.25" customHeight="1">
      <c r="A14" s="2"/>
      <c r="B14" s="2"/>
      <c r="C14" s="70" t="s">
        <v>81</v>
      </c>
      <c r="D14" s="68" t="s">
        <v>99</v>
      </c>
      <c r="E14" s="68" t="s">
        <v>50</v>
      </c>
      <c r="F14" s="68"/>
      <c r="G14" s="76"/>
      <c r="H14" s="76"/>
      <c r="I14" s="76"/>
      <c r="J14" s="113"/>
      <c r="K14" s="113"/>
      <c r="L14" s="182">
        <v>2.7997811278454687E-2</v>
      </c>
      <c r="M14" s="173">
        <f>L14</f>
        <v>2.7997811278454687E-2</v>
      </c>
      <c r="N14" s="173">
        <f>L14</f>
        <v>2.7997811278454687E-2</v>
      </c>
      <c r="O14" s="173">
        <f>L14</f>
        <v>2.7997811278454687E-2</v>
      </c>
      <c r="P14" s="173">
        <f>L14</f>
        <v>2.7997811278454687E-2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59</v>
      </c>
      <c r="E15" s="68" t="s">
        <v>30</v>
      </c>
      <c r="F15" s="171">
        <v>1</v>
      </c>
      <c r="G15" s="172">
        <f>IF(G7&lt;&gt;"",(F15*(1+G13)),"")</f>
        <v>1.0184049079754602</v>
      </c>
      <c r="H15" s="172">
        <f>IF(H7&lt;&gt;"",(G15*(1+H13)),"")</f>
        <v>1.0271691498685365</v>
      </c>
      <c r="I15" s="172">
        <f>IF(I7&lt;&gt;"",(H15*(1+I13)),"")</f>
        <v>1.0631025416301489</v>
      </c>
      <c r="J15" s="174">
        <f>IF(J7&lt;&gt;"",(I15*(1+J13)),"")</f>
        <v>1.1463628396143735</v>
      </c>
      <c r="K15" s="174">
        <f>IF(K7&lt;&gt;"",(J15*(1+K13)),"")</f>
        <v>1.1933637160385626</v>
      </c>
      <c r="L15" s="174">
        <f t="shared" ref="L15:P15" si="2">IF(L7&lt;&gt;"",(K15*(1+L14)),"")</f>
        <v>1.2267752881467657</v>
      </c>
      <c r="M15" s="174">
        <f t="shared" si="2"/>
        <v>1.2611223111453707</v>
      </c>
      <c r="N15" s="174">
        <f t="shared" si="2"/>
        <v>1.2964309756118673</v>
      </c>
      <c r="O15" s="174">
        <f t="shared" si="2"/>
        <v>1.3327282054025913</v>
      </c>
      <c r="P15" s="174">
        <f t="shared" si="2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2"/>
      <c r="L16" s="162"/>
      <c r="M16" s="162"/>
      <c r="N16" s="162"/>
      <c r="O16" s="162"/>
      <c r="P16" s="162"/>
    </row>
    <row r="17" spans="1:16" s="71" customFormat="1" ht="12.75" customHeight="1">
      <c r="C17" s="23" t="s">
        <v>67</v>
      </c>
      <c r="D17" s="72"/>
      <c r="E17" s="72"/>
      <c r="F17" s="72"/>
      <c r="J17" s="163"/>
      <c r="K17" s="163"/>
      <c r="L17" s="163"/>
      <c r="M17" s="164"/>
      <c r="N17" s="163"/>
      <c r="O17" s="163"/>
      <c r="P17" s="163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5"/>
      <c r="N18" s="11"/>
      <c r="O18" s="166"/>
      <c r="P18" s="166"/>
    </row>
    <row r="19" spans="1:16" ht="11.25" customHeight="1">
      <c r="C19" s="13"/>
      <c r="D19" s="65" t="s">
        <v>6</v>
      </c>
      <c r="E19" s="65" t="s">
        <v>51</v>
      </c>
      <c r="F19" s="69"/>
      <c r="G19" s="146" t="str">
        <f>G7</f>
        <v>2019–20</v>
      </c>
      <c r="H19" s="146" t="str">
        <f t="shared" ref="H19:P19" si="3">H7</f>
        <v>2020–21</v>
      </c>
      <c r="I19" s="146" t="str">
        <f t="shared" si="3"/>
        <v>2021–22</v>
      </c>
      <c r="J19" s="167" t="str">
        <f t="shared" si="3"/>
        <v>2022–23</v>
      </c>
      <c r="K19" s="167" t="str">
        <f t="shared" si="3"/>
        <v>2023–24</v>
      </c>
      <c r="L19" s="167" t="str">
        <f t="shared" si="3"/>
        <v>2024-25</v>
      </c>
      <c r="M19" s="167" t="str">
        <f t="shared" si="3"/>
        <v>2025–26</v>
      </c>
      <c r="N19" s="167" t="str">
        <f t="shared" si="3"/>
        <v>2026–27</v>
      </c>
      <c r="O19" s="167" t="str">
        <f t="shared" si="3"/>
        <v>2027–28</v>
      </c>
      <c r="P19" s="167" t="str">
        <f t="shared" si="3"/>
        <v>2028–29</v>
      </c>
    </row>
    <row r="20" spans="1:16" ht="11.25" customHeight="1">
      <c r="C20" s="70" t="s">
        <v>10</v>
      </c>
      <c r="D20" s="68" t="s">
        <v>99</v>
      </c>
      <c r="E20" s="68" t="s">
        <v>50</v>
      </c>
      <c r="F20" s="69"/>
      <c r="G20" s="182">
        <v>2.3943609272164726E-2</v>
      </c>
      <c r="H20" s="182">
        <v>2.3289091085008852E-2</v>
      </c>
      <c r="I20" s="182">
        <v>2.2315912798280824E-2</v>
      </c>
      <c r="J20" s="182">
        <v>2.1655341213216151E-2</v>
      </c>
      <c r="K20" s="182">
        <v>2.2790895693044176E-2</v>
      </c>
      <c r="L20" s="113"/>
      <c r="M20" s="113"/>
      <c r="N20" s="113"/>
      <c r="O20" s="113"/>
      <c r="P20" s="113"/>
    </row>
    <row r="21" spans="1:16" ht="11.25" customHeight="1">
      <c r="C21" s="127" t="s">
        <v>94</v>
      </c>
      <c r="D21" s="68" t="s">
        <v>99</v>
      </c>
      <c r="E21" s="68" t="s">
        <v>50</v>
      </c>
      <c r="F21" s="69"/>
      <c r="G21" s="69"/>
      <c r="H21" s="69"/>
      <c r="I21" s="69"/>
      <c r="J21" s="168"/>
      <c r="K21" s="168"/>
      <c r="L21" s="182">
        <v>2.734062802565429E-2</v>
      </c>
      <c r="M21" s="182">
        <v>2.8632860846278342E-2</v>
      </c>
      <c r="N21" s="182">
        <v>2.9925093666902394E-2</v>
      </c>
      <c r="O21" s="182">
        <v>3.1217326487526443E-2</v>
      </c>
      <c r="P21" s="182">
        <v>3.2509559308150492E-2</v>
      </c>
    </row>
    <row r="22" spans="1:16" ht="11.25" customHeight="1">
      <c r="C22" s="70" t="s">
        <v>68</v>
      </c>
      <c r="D22" s="68" t="s">
        <v>59</v>
      </c>
      <c r="E22" s="68" t="s">
        <v>50</v>
      </c>
      <c r="F22" s="69"/>
      <c r="G22" s="175">
        <f>IF(AND(G13&lt;&gt;"",G20&lt;&gt;""),((1+G20)*(1+G13)-1),"")</f>
        <v>4.2789197172879545E-2</v>
      </c>
      <c r="H22" s="175">
        <f>IF(AND(H13&lt;&gt;"",H20&lt;&gt;""),((1+H20)*(1+H13)-1),"")</f>
        <v>3.2095365534965836E-2</v>
      </c>
      <c r="I22" s="175">
        <f>IF(AND(I13&lt;&gt;"",I20&lt;&gt;""),((1+I20)*(1+I13)-1),"")</f>
        <v>5.8079524082179645E-2</v>
      </c>
      <c r="J22" s="175">
        <f>IF(AND(J13&lt;&gt;"",J20&lt;&gt;""),((1+J20)*(1+J13)-1),"")</f>
        <v>0.10166956826618856</v>
      </c>
      <c r="K22" s="175">
        <f>IF(AND(K13&lt;&gt;"",K20&lt;&gt;""),((1+K20)*(1+K13)-1),"")</f>
        <v>6.4725322416459008E-2</v>
      </c>
      <c r="L22" s="175">
        <f>IF(AND(L14&lt;&gt;"",L21&lt;&gt;""),((1+L21)*(1+L14)-1),"")</f>
        <v>5.6103917047805707E-2</v>
      </c>
      <c r="M22" s="175">
        <f t="shared" ref="M22:P22" si="4">IF(AND(M14&lt;&gt;"",M21&lt;&gt;""),((1+M21)*(1+M14)-1),"")</f>
        <v>5.7432329559069295E-2</v>
      </c>
      <c r="N22" s="175">
        <f t="shared" si="4"/>
        <v>5.8760742070333105E-2</v>
      </c>
      <c r="O22" s="175">
        <f t="shared" si="4"/>
        <v>6.0089154581596693E-2</v>
      </c>
      <c r="P22" s="175">
        <f t="shared" si="4"/>
        <v>6.1417567092860503E-2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zoomScaleNormal="100" workbookViewId="0">
      <selection activeCell="H24" sqref="H24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6" width="15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Power and Water 2024-29 Regulatory Proposal - Capital expenditure sharing scheme model</v>
      </c>
      <c r="D1" s="3"/>
      <c r="E1" s="3"/>
      <c r="F1" s="3"/>
      <c r="G1" s="3"/>
      <c r="H1" s="92"/>
      <c r="I1" s="93" t="s">
        <v>47</v>
      </c>
      <c r="J1" s="130" t="s">
        <v>48</v>
      </c>
      <c r="K1" s="134" t="s">
        <v>36</v>
      </c>
      <c r="L1" s="181" t="s">
        <v>106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51</v>
      </c>
      <c r="F6" s="65" t="s">
        <v>4</v>
      </c>
      <c r="G6" s="55"/>
      <c r="H6" s="148" t="str">
        <f>IF('Input | General'!D14="Yes",'Input | General'!D13,"n/a")</f>
        <v>2019–20</v>
      </c>
      <c r="I6" s="148" t="str">
        <f>IF('Input | General'!E14="Yes",'Input | General'!E13,"n/a")</f>
        <v>2020–21</v>
      </c>
      <c r="J6" s="148" t="str">
        <f>IF('Input | General'!F14="Yes",'Input | General'!F13,"n/a")</f>
        <v>2021–22</v>
      </c>
      <c r="K6" s="148" t="str">
        <f>IF('Input | General'!G14="Yes",'Input | General'!G13,"n/a")</f>
        <v>2022–23</v>
      </c>
      <c r="L6" s="148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3</v>
      </c>
      <c r="D8" s="56" t="s">
        <v>99</v>
      </c>
      <c r="E8" s="68" t="s">
        <v>49</v>
      </c>
      <c r="F8" s="68" t="str">
        <f>'Input | Inflation and Disc Rate'!$F$7</f>
        <v>2018–19</v>
      </c>
      <c r="G8" s="58"/>
      <c r="H8" s="132">
        <v>96.161214497738086</v>
      </c>
      <c r="I8" s="132">
        <v>78.048544693037911</v>
      </c>
      <c r="J8" s="132">
        <v>88.24789625720382</v>
      </c>
      <c r="K8" s="132">
        <v>63.049094810999016</v>
      </c>
      <c r="L8" s="132">
        <v>60.274240228497469</v>
      </c>
    </row>
    <row r="9" spans="2:14" ht="10.5" customHeight="1">
      <c r="C9" s="70" t="s">
        <v>96</v>
      </c>
      <c r="D9" s="56" t="s">
        <v>99</v>
      </c>
      <c r="E9" s="68" t="s">
        <v>49</v>
      </c>
      <c r="F9" s="68" t="str">
        <f>'Input | Inflation and Disc Rate'!$F$7</f>
        <v>2018–19</v>
      </c>
      <c r="G9" s="58"/>
      <c r="H9" s="132">
        <v>9.1803895964051065</v>
      </c>
      <c r="I9" s="132">
        <v>9.2653160630414781</v>
      </c>
      <c r="J9" s="132">
        <v>9.4812515473211629</v>
      </c>
      <c r="K9" s="132">
        <v>9.311649177771967</v>
      </c>
      <c r="L9" s="132">
        <v>9.3712474769019121</v>
      </c>
    </row>
    <row r="10" spans="2:14" ht="10.5" customHeight="1">
      <c r="C10" s="70" t="s">
        <v>90</v>
      </c>
      <c r="D10" s="56" t="s">
        <v>99</v>
      </c>
      <c r="E10" s="68" t="s">
        <v>49</v>
      </c>
      <c r="F10" s="68" t="str">
        <f>'Input | Inflation and Disc Rate'!$F$7</f>
        <v>2018–19</v>
      </c>
      <c r="G10" s="58"/>
      <c r="H10" s="132">
        <v>0.1637075693964988</v>
      </c>
      <c r="I10" s="132">
        <v>0.1637075693964988</v>
      </c>
      <c r="J10" s="132">
        <v>0.1637075693964988</v>
      </c>
      <c r="K10" s="132">
        <v>0.1637075693964988</v>
      </c>
      <c r="L10" s="132">
        <v>0.1637075693964988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59</v>
      </c>
      <c r="E12" s="149" t="s">
        <v>49</v>
      </c>
      <c r="F12" s="179" t="str">
        <f>'Input | Inflation and Disc Rate'!$F$7</f>
        <v>2018–19</v>
      </c>
      <c r="G12" s="58"/>
      <c r="H12" s="177">
        <f>IF(H6="", "", H8-H9-H10)</f>
        <v>86.817117331936487</v>
      </c>
      <c r="I12" s="177">
        <f t="shared" ref="I12:L12" si="0">IF(I6="", "", I8-I9-I10)</f>
        <v>68.619521060599936</v>
      </c>
      <c r="J12" s="177">
        <f t="shared" si="0"/>
        <v>78.602937140486162</v>
      </c>
      <c r="K12" s="177">
        <f t="shared" si="0"/>
        <v>53.573738063830547</v>
      </c>
      <c r="L12" s="177">
        <f t="shared" si="0"/>
        <v>50.739285182199055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51</v>
      </c>
      <c r="F16" s="65" t="s">
        <v>4</v>
      </c>
      <c r="G16" s="55"/>
      <c r="H16" s="148" t="str">
        <f>H6</f>
        <v>2019–20</v>
      </c>
      <c r="I16" s="148" t="str">
        <f t="shared" ref="I16:L16" si="1">I6</f>
        <v>2020–21</v>
      </c>
      <c r="J16" s="148" t="str">
        <f t="shared" si="1"/>
        <v>2021–22</v>
      </c>
      <c r="K16" s="148" t="str">
        <f t="shared" si="1"/>
        <v>2022–23</v>
      </c>
      <c r="L16" s="148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76</v>
      </c>
      <c r="D18" s="56" t="s">
        <v>99</v>
      </c>
      <c r="E18" s="68" t="s">
        <v>49</v>
      </c>
      <c r="F18" s="68" t="s">
        <v>52</v>
      </c>
      <c r="G18" s="58"/>
      <c r="H18" s="183">
        <v>67.60321128485748</v>
      </c>
      <c r="I18" s="183">
        <v>47.730792447380743</v>
      </c>
      <c r="J18" s="183">
        <v>70.974833453354293</v>
      </c>
      <c r="K18" s="183">
        <v>92.826603038122187</v>
      </c>
      <c r="L18" s="183">
        <v>118.41768201085189</v>
      </c>
    </row>
    <row r="19" spans="2:14" ht="10.5" customHeight="1">
      <c r="B19" s="63"/>
      <c r="C19" s="70" t="s">
        <v>96</v>
      </c>
      <c r="D19" s="56" t="s">
        <v>99</v>
      </c>
      <c r="E19" s="68" t="s">
        <v>49</v>
      </c>
      <c r="F19" s="68" t="s">
        <v>52</v>
      </c>
      <c r="G19" s="120"/>
      <c r="H19" s="184">
        <v>5.0959178699999992</v>
      </c>
      <c r="I19" s="183">
        <v>4.8972677899999999</v>
      </c>
      <c r="J19" s="183">
        <v>3.3945500000000002</v>
      </c>
      <c r="K19" s="183">
        <v>5.8332289595148339</v>
      </c>
      <c r="L19" s="183">
        <v>13.559368574430101</v>
      </c>
    </row>
    <row r="20" spans="2:14" ht="10.5" customHeight="1">
      <c r="B20" s="63"/>
      <c r="C20" s="119" t="s">
        <v>90</v>
      </c>
      <c r="D20" s="56" t="s">
        <v>99</v>
      </c>
      <c r="E20" s="68" t="s">
        <v>49</v>
      </c>
      <c r="F20" s="68" t="s">
        <v>52</v>
      </c>
      <c r="G20" s="120"/>
      <c r="H20" s="184">
        <v>9.2792970000000002E-2</v>
      </c>
      <c r="I20" s="183">
        <v>0.13698262</v>
      </c>
      <c r="J20" s="183">
        <v>0.15272696999999999</v>
      </c>
      <c r="K20" s="183">
        <v>0.15758660496261623</v>
      </c>
      <c r="L20" s="183">
        <v>0.16521585890408708</v>
      </c>
    </row>
    <row r="21" spans="2:14" ht="10.5" customHeight="1">
      <c r="B21" s="63"/>
      <c r="C21" s="128" t="s">
        <v>95</v>
      </c>
      <c r="D21" s="56" t="s">
        <v>99</v>
      </c>
      <c r="E21" s="68" t="s">
        <v>49</v>
      </c>
      <c r="F21" s="68" t="s">
        <v>52</v>
      </c>
      <c r="G21" s="58"/>
      <c r="H21" s="133"/>
      <c r="I21" s="132"/>
      <c r="J21" s="132"/>
      <c r="K21" s="132"/>
      <c r="L21" s="132"/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75</v>
      </c>
      <c r="D23" s="66" t="s">
        <v>59</v>
      </c>
      <c r="E23" s="150" t="s">
        <v>49</v>
      </c>
      <c r="F23" s="150" t="s">
        <v>52</v>
      </c>
      <c r="G23" s="58"/>
      <c r="H23" s="177">
        <f>IF(H16="", "", H18-H19-H20-H21)</f>
        <v>62.414500444857481</v>
      </c>
      <c r="I23" s="177">
        <f t="shared" ref="I23:L23" si="2">IF(I16="", "", I18-I19-I20-I21)</f>
        <v>42.696542037380745</v>
      </c>
      <c r="J23" s="177">
        <f t="shared" si="2"/>
        <v>67.427556483354294</v>
      </c>
      <c r="K23" s="177">
        <f t="shared" si="2"/>
        <v>86.835787473644743</v>
      </c>
      <c r="L23" s="177">
        <f t="shared" si="2"/>
        <v>104.6930975775177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8" t="str">
        <f>'Input | General'!D18</f>
        <v>2024-25</v>
      </c>
      <c r="I27" s="148" t="str">
        <f>'Input | General'!E18</f>
        <v>2025–26</v>
      </c>
      <c r="J27" s="148" t="str">
        <f>'Input | General'!F18</f>
        <v>2026–27</v>
      </c>
      <c r="K27" s="148" t="str">
        <f>'Input | General'!G18</f>
        <v>2027–28</v>
      </c>
      <c r="L27" s="148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84</v>
      </c>
      <c r="D29" s="56" t="s">
        <v>99</v>
      </c>
      <c r="E29" s="68" t="s">
        <v>49</v>
      </c>
      <c r="F29" s="68" t="s">
        <v>102</v>
      </c>
      <c r="G29" s="58"/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84</v>
      </c>
      <c r="D30" s="56" t="s">
        <v>59</v>
      </c>
      <c r="E30" s="68" t="s">
        <v>49</v>
      </c>
      <c r="F30" s="68" t="s">
        <v>103</v>
      </c>
      <c r="G30" s="58"/>
      <c r="H30" s="176">
        <f>IF(H29&lt;&gt;"",H29/('Input | Inflation and Disc Rate'!K10*(1+'Input | Inflation and Disc Rate'!L9)^0.5),"")</f>
        <v>0</v>
      </c>
      <c r="I30" s="176">
        <f>IF(I29&lt;&gt;"",I29/('Input | Inflation and Disc Rate'!L10*(1+'Input | Inflation and Disc Rate'!M9)^0.5),"")</f>
        <v>0</v>
      </c>
      <c r="J30" s="176">
        <f>IF(J29&lt;&gt;"",J29/('Input | Inflation and Disc Rate'!M10*(1+'Input | Inflation and Disc Rate'!N9)^0.5),"")</f>
        <v>0</v>
      </c>
      <c r="K30" s="176">
        <f>IF(K29&lt;&gt;"",K29/('Input | Inflation and Disc Rate'!N10*(1+'Input | Inflation and Disc Rate'!O9)^0.5),"")</f>
        <v>0</v>
      </c>
      <c r="L30" s="176">
        <f>IF(L29&lt;&gt;"",L29/('Input | Inflation and Disc Rate'!O10*(1+'Input | Inflation and Disc Rate'!P9)^0.5),"")</f>
        <v>0</v>
      </c>
    </row>
    <row r="31" spans="2:14" ht="11.25" customHeight="1">
      <c r="C31" s="74" t="s">
        <v>84</v>
      </c>
      <c r="D31" s="56" t="s">
        <v>59</v>
      </c>
      <c r="E31" s="68" t="s">
        <v>49</v>
      </c>
      <c r="F31" s="68" t="s">
        <v>102</v>
      </c>
      <c r="G31" s="58"/>
      <c r="H31" s="176">
        <f>IF(H29&lt;&gt;"",H30*'Input | Inflation and Disc Rate'!K15*(1+'Input | Inflation and Disc Rate'!L14)^0.5,"")</f>
        <v>0</v>
      </c>
      <c r="I31" s="176">
        <f>IF(I29&lt;&gt;"",I30*'Input | Inflation and Disc Rate'!L15*(1+'Input | Inflation and Disc Rate'!M14)^0.5,"")</f>
        <v>0</v>
      </c>
      <c r="J31" s="176">
        <f>IF(J29&lt;&gt;"",J30*'Input | Inflation and Disc Rate'!M15*(1+'Input | Inflation and Disc Rate'!N14)^0.5,"")</f>
        <v>0</v>
      </c>
      <c r="K31" s="176">
        <f>IF(K29&lt;&gt;"",K30*'Input | Inflation and Disc Rate'!N15*(1+'Input | Inflation and Disc Rate'!O14)^0.5,"")</f>
        <v>0</v>
      </c>
      <c r="L31" s="176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34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I28" sqref="I28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1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Power and Water 2024-29 Regulatory Proposal - Capital expenditure sharing scheme model</v>
      </c>
      <c r="C1" s="2"/>
      <c r="J1" s="108"/>
      <c r="K1" s="93" t="s">
        <v>47</v>
      </c>
      <c r="L1" s="130" t="s">
        <v>48</v>
      </c>
      <c r="M1" s="134" t="s">
        <v>36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83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8" t="str">
        <f>IF('Input | General'!D14="Yes",'Input | General'!D13,"n/a")</f>
        <v>2019–20</v>
      </c>
      <c r="E7" s="148" t="str">
        <f>IF('Input | General'!E14="Yes",'Input | General'!E13,"n/a")</f>
        <v>2020–21</v>
      </c>
      <c r="F7" s="148" t="str">
        <f>IF('Input | General'!F14="Yes",'Input | General'!F13,"n/a")</f>
        <v>2021–22</v>
      </c>
      <c r="G7" s="148" t="str">
        <f>IF('Input | General'!G14="Yes",'Input | General'!G13,"n/a")</f>
        <v>2022–23</v>
      </c>
      <c r="H7" s="151" t="str">
        <f>IF('Input | General'!H14="Yes",'Input | General'!H13,"n/a")</f>
        <v>2023–24</v>
      </c>
      <c r="I7" s="84"/>
    </row>
    <row r="8" spans="2:23" ht="11.25" customHeight="1">
      <c r="C8" s="101" t="s">
        <v>92</v>
      </c>
      <c r="D8" s="135">
        <f>'Input | Inflation and Disc Rate'!G20</f>
        <v>2.3943609272164726E-2</v>
      </c>
      <c r="E8" s="136">
        <f>'Input | Inflation and Disc Rate'!H20</f>
        <v>2.3289091085008852E-2</v>
      </c>
      <c r="F8" s="136">
        <f>'Input | Inflation and Disc Rate'!I20</f>
        <v>2.2315912798280824E-2</v>
      </c>
      <c r="G8" s="136">
        <f>'Input | Inflation and Disc Rate'!J20</f>
        <v>2.1655341213216151E-2</v>
      </c>
      <c r="H8" s="137">
        <f>'Input | Inflation and Disc Rate'!K20</f>
        <v>2.2790895693044176E-2</v>
      </c>
      <c r="I8" s="84"/>
      <c r="J8" s="69"/>
      <c r="K8" s="69"/>
    </row>
    <row r="9" spans="2:23" ht="11.25" customHeight="1">
      <c r="C9" s="123" t="s">
        <v>93</v>
      </c>
      <c r="D9" s="136">
        <f>'Input | Inflation and Disc Rate'!G22</f>
        <v>4.2789197172879545E-2</v>
      </c>
      <c r="E9" s="136">
        <f>'Input | Inflation and Disc Rate'!H22</f>
        <v>3.2095365534965836E-2</v>
      </c>
      <c r="F9" s="136">
        <f>'Input | Inflation and Disc Rate'!I22</f>
        <v>5.8079524082179645E-2</v>
      </c>
      <c r="G9" s="136">
        <f>'Input | Inflation and Disc Rate'!J22</f>
        <v>0.10166956826618856</v>
      </c>
      <c r="H9" s="137">
        <f>'Input | Inflation and Disc Rate'!K22</f>
        <v>6.4725322416459008E-2</v>
      </c>
      <c r="I9" s="84"/>
      <c r="J9" s="69"/>
      <c r="K9" s="69"/>
    </row>
    <row r="10" spans="2:23" ht="11.25" customHeight="1">
      <c r="C10" s="99" t="s">
        <v>13</v>
      </c>
      <c r="D10" s="138">
        <f>'Input | Reported Capex'!H$12*'Input | Inflation and Disc Rate'!G$15*(1+'Input | Inflation and Disc Rate'!G$20)^0.5</f>
        <v>89.467203973305629</v>
      </c>
      <c r="E10" s="139">
        <f>'Input | Reported Capex'!I$12*'Input | Inflation and Disc Rate'!H$15*(1+'Input | Inflation and Disc Rate'!H$20)^0.5</f>
        <v>71.299883776533562</v>
      </c>
      <c r="F10" s="139">
        <f>'Input | Reported Capex'!J$12*'Input | Inflation and Disc Rate'!I$15*(1+'Input | Inflation and Disc Rate'!I$20)^0.5</f>
        <v>84.490229815257777</v>
      </c>
      <c r="G10" s="139">
        <f>'Input | Reported Capex'!K$12*'Input | Inflation and Disc Rate'!J$15*(1+'Input | Inflation and Disc Rate'!J$20)^0.5</f>
        <v>62.076361627859832</v>
      </c>
      <c r="H10" s="140">
        <f>'Input | Reported Capex'!L$12*'Input | Inflation and Disc Rate'!K$15*(1+'Input | Inflation and Disc Rate'!K$20)^0.5</f>
        <v>61.236533836576967</v>
      </c>
      <c r="I10" s="180"/>
      <c r="J10" s="69"/>
      <c r="K10" s="69"/>
      <c r="N10" s="117"/>
    </row>
    <row r="11" spans="2:23" ht="11.25" customHeight="1">
      <c r="C11" s="99" t="s">
        <v>15</v>
      </c>
      <c r="D11" s="141">
        <f>'Input | Reported Capex'!H23*(1+D$9)^0.5</f>
        <v>63.735846843583644</v>
      </c>
      <c r="E11" s="139">
        <f>'Input | Reported Capex'!I23*(1+E$9)^0.5</f>
        <v>43.37631131478571</v>
      </c>
      <c r="F11" s="139">
        <f>'Input | Reported Capex'!J23*(1+F$9)^0.5</f>
        <v>69.358002416804609</v>
      </c>
      <c r="G11" s="139">
        <f>'Input | Reported Capex'!K23*(1+G$9)^0.5</f>
        <v>91.143231715101905</v>
      </c>
      <c r="H11" s="140">
        <f>'Input | Reported Capex'!L23*(1+H$9)^0.5</f>
        <v>108.0281256951411</v>
      </c>
      <c r="I11" s="180"/>
      <c r="J11" s="69"/>
      <c r="K11" s="69"/>
    </row>
    <row r="12" spans="2:23" s="14" customFormat="1" ht="11.25" customHeight="1">
      <c r="C12" s="99" t="s">
        <v>17</v>
      </c>
      <c r="D12" s="77">
        <f>(D10-D11)</f>
        <v>25.731357129721985</v>
      </c>
      <c r="E12" s="121">
        <f>(E10-E11)</f>
        <v>27.923572461747852</v>
      </c>
      <c r="F12" s="121">
        <f t="shared" ref="F12:H12" si="0">(F10-F11)</f>
        <v>15.132227398453168</v>
      </c>
      <c r="G12" s="121">
        <f t="shared" si="0"/>
        <v>-29.066870087242073</v>
      </c>
      <c r="H12" s="125">
        <f t="shared" si="0"/>
        <v>-46.791591858564132</v>
      </c>
      <c r="I12" s="180"/>
      <c r="J12" s="69"/>
      <c r="K12" s="69"/>
    </row>
    <row r="13" spans="2:23" ht="11.25" customHeight="1">
      <c r="C13" s="99" t="s">
        <v>70</v>
      </c>
      <c r="D13" s="77"/>
      <c r="E13" s="121">
        <f>$D$12*$E$8</f>
        <v>0.59925991993498728</v>
      </c>
      <c r="F13" s="121">
        <f>$D$12*$F$8*(1+'Input | Inflation and Disc Rate'!H13)</f>
        <v>0.57916036321263731</v>
      </c>
      <c r="G13" s="121">
        <f>$D$12*$G$8*(1+'Input | Inflation and Disc Rate'!H13)*(1+'Input | Inflation and Disc Rate'!I13)</f>
        <v>0.58167767587668184</v>
      </c>
      <c r="H13" s="125">
        <f>$D$12*$H$8*(1+'Input | Inflation and Disc Rate'!H13)*(1+'Input | Inflation and Disc Rate'!I13)*(1+'Input | Inflation and Disc Rate'!J13)</f>
        <v>0.66012427255612971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71</v>
      </c>
      <c r="D14" s="77"/>
      <c r="E14" s="122"/>
      <c r="F14" s="121">
        <f>$E$12*F$8</f>
        <v>0.62314000807284087</v>
      </c>
      <c r="G14" s="121">
        <f>$E$12*G$8*(1+'Input | Inflation and Disc Rate'!I13)</f>
        <v>0.62584847766681184</v>
      </c>
      <c r="H14" s="125">
        <f>$E$12*H$8*(1+'Input | Inflation and Disc Rate'!I13)*(1+'Input | Inflation and Disc Rate'!J13)</f>
        <v>0.71025206602178814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72</v>
      </c>
      <c r="D15" s="77"/>
      <c r="E15" s="121"/>
      <c r="F15" s="121"/>
      <c r="G15" s="121">
        <f>$F$12*G$8</f>
        <v>0.3276935476294815</v>
      </c>
      <c r="H15" s="125">
        <f>$F$12*$H$8*(1+'Input | Inflation and Disc Rate'!J13)</f>
        <v>0.37188717002800936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73</v>
      </c>
      <c r="D16" s="77"/>
      <c r="E16" s="121"/>
      <c r="F16" s="121"/>
      <c r="G16" s="121"/>
      <c r="H16" s="125">
        <f>$G$12*$H$8</f>
        <v>-0.6624600042815999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74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0.59925991993498728</v>
      </c>
      <c r="F18" s="79">
        <f t="shared" ref="F18:H18" si="1">SUM(F13:F17)</f>
        <v>1.2023003712854781</v>
      </c>
      <c r="G18" s="79">
        <f t="shared" si="1"/>
        <v>1.5352197011729751</v>
      </c>
      <c r="H18" s="80">
        <f t="shared" si="1"/>
        <v>1.0798035043243273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91</v>
      </c>
      <c r="D19" s="78">
        <f>E19*(1+E$9)</f>
        <v>1.2809349455814838</v>
      </c>
      <c r="E19" s="79">
        <f>F19*(1+F$9)</f>
        <v>1.2411013442711634</v>
      </c>
      <c r="F19" s="79">
        <f>G19*(1+G$9)</f>
        <v>1.1729754862686188</v>
      </c>
      <c r="G19" s="79">
        <f>H19*(1+H$9)</f>
        <v>1.064725322416459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32.960194544698155</v>
      </c>
      <c r="E20" s="121">
        <f>E12*E19</f>
        <v>34.655983319128495</v>
      </c>
      <c r="F20" s="121">
        <f t="shared" ref="F20:H20" si="2">F12*F19</f>
        <v>17.749731791027919</v>
      </c>
      <c r="G20" s="121">
        <f t="shared" si="2"/>
        <v>-30.948232625276145</v>
      </c>
      <c r="H20" s="125">
        <f t="shared" si="2"/>
        <v>-46.791591858564132</v>
      </c>
      <c r="I20" s="180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0.74374229219914245</v>
      </c>
      <c r="F21" s="79">
        <f t="shared" ref="F21:H21" si="3">F18*F19</f>
        <v>1.4102688626495246</v>
      </c>
      <c r="G21" s="79">
        <f t="shared" si="3"/>
        <v>1.6345872913114958</v>
      </c>
      <c r="H21" s="80">
        <f t="shared" si="3"/>
        <v>1.0798035043243273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2" t="str">
        <f>'Input | General'!$D$18</f>
        <v>2024-25</v>
      </c>
      <c r="E24" s="152" t="str">
        <f>'Input | General'!$E$18</f>
        <v>2025–26</v>
      </c>
      <c r="F24" s="152" t="str">
        <f>'Input | General'!$F$18</f>
        <v>2026–27</v>
      </c>
      <c r="G24" s="152" t="str">
        <f>'Input | General'!$G$18</f>
        <v>2027–28</v>
      </c>
      <c r="H24" s="153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69</v>
      </c>
      <c r="D25" s="142">
        <f>'Input | Inflation and Disc Rate'!L$22</f>
        <v>5.6103917047805707E-2</v>
      </c>
      <c r="E25" s="142">
        <f>'Input | Inflation and Disc Rate'!M$22</f>
        <v>5.7432329559069295E-2</v>
      </c>
      <c r="F25" s="142">
        <f>'Input | Inflation and Disc Rate'!N$22</f>
        <v>5.8760742070333105E-2</v>
      </c>
      <c r="G25" s="142">
        <f>'Input | Inflation and Disc Rate'!O$22</f>
        <v>6.0089154581596693E-2</v>
      </c>
      <c r="H25" s="143">
        <f>'Input | Inflation and Disc Rate'!P$22</f>
        <v>6.1417567092860503E-2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39">
        <f>'Input | Reported Capex'!H31</f>
        <v>0</v>
      </c>
      <c r="E26" s="139">
        <f>'Input | Reported Capex'!I31</f>
        <v>0</v>
      </c>
      <c r="F26" s="139">
        <f>'Input | Reported Capex'!J31</f>
        <v>0</v>
      </c>
      <c r="G26" s="139">
        <f>'Input | Reported Capex'!K31</f>
        <v>0</v>
      </c>
      <c r="H26" s="140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0.97307580298733487</v>
      </c>
      <c r="E27" s="109">
        <f>1/((1+E25)^(0.5)*(1+D25))</f>
        <v>0.92080369736164558</v>
      </c>
      <c r="F27" s="109">
        <f>1/((1+F25)^(0.5)*(1+E25)*(1+D25))</f>
        <v>0.8702456227925659</v>
      </c>
      <c r="G27" s="109">
        <f>1/((1+G25)^(0.5)*(1+F25)*(1+E25)*(1+D25))</f>
        <v>0.82143222622775347</v>
      </c>
      <c r="H27" s="110">
        <f>1/((1+H25)^(0.5)*(1+G25)*(1+F25)*(1+E25)*(1+D25))</f>
        <v>0.77438584461700555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7.6260851710142816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5.338259619709997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2.2878255513042842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4.8684019504844898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-2.5805763991802055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4" t="str">
        <f>'Input | General'!D18</f>
        <v>2024-25</v>
      </c>
      <c r="E40" s="154" t="str">
        <f>'Input | General'!E18</f>
        <v>2025–26</v>
      </c>
      <c r="F40" s="154" t="str">
        <f>'Input | General'!F18</f>
        <v>2026–27</v>
      </c>
      <c r="G40" s="154" t="str">
        <f>'Input | General'!G18</f>
        <v>2027–28</v>
      </c>
      <c r="H40" s="154" t="str">
        <f>'Input | General'!H18</f>
        <v>2028–29</v>
      </c>
    </row>
    <row r="41" spans="1:16382" s="24" customFormat="1" ht="11.25" customHeight="1">
      <c r="C41" s="87" t="s">
        <v>97</v>
      </c>
      <c r="D41" s="144">
        <f>1/(1+'Input | Inflation and Disc Rate'!L21)</f>
        <v>0.97338698842447458</v>
      </c>
      <c r="E41" s="144">
        <f>D41/(1+'Input | Inflation and Disc Rate'!M21)</f>
        <v>0.94629194290336816</v>
      </c>
      <c r="F41" s="144">
        <f>E41/(1+'Input | Inflation and Disc Rate'!N21)</f>
        <v>0.91879686078356404</v>
      </c>
      <c r="G41" s="144">
        <f>F41/(1+'Input | Inflation and Disc Rate'!O21)</f>
        <v>0.89098276103749874</v>
      </c>
      <c r="H41" s="145">
        <f>G41/(1+'Input | Inflation and Disc Rate'!P21)</f>
        <v>0.86292930947246227</v>
      </c>
    </row>
    <row r="42" spans="1:16382" s="24" customFormat="1" ht="11.25" customHeight="1">
      <c r="C42" s="160" t="str">
        <f>CONCATENATE("CESS Payment Per Year ($", 'Output | Models'!$F$8," million)")</f>
        <v>CESS Payment Per Year ($2023–24 million)</v>
      </c>
      <c r="D42" s="96">
        <f>D36/(SUM(D41:H41))</f>
        <v>-0.56192474947166027</v>
      </c>
      <c r="E42" s="96">
        <f>D42</f>
        <v>-0.56192474947166027</v>
      </c>
      <c r="F42" s="96">
        <f t="shared" ref="F42:H42" si="5">E42</f>
        <v>-0.56192474947166027</v>
      </c>
      <c r="G42" s="96">
        <f t="shared" si="5"/>
        <v>-0.56192474947166027</v>
      </c>
      <c r="H42" s="124">
        <f t="shared" si="5"/>
        <v>-0.56192474947166027</v>
      </c>
    </row>
    <row r="43" spans="1:16382" s="69" customFormat="1" ht="11.25" customHeight="1"/>
    <row r="44" spans="1:16382" s="24" customFormat="1" ht="11.25" customHeight="1">
      <c r="C44" s="160" t="str">
        <f>CONCATENATE("Total CESS Payment ($", 'Output | Models'!$F$8," million)")</f>
        <v>Total CESS Payment ($2023–24 million)</v>
      </c>
      <c r="D44" s="129">
        <f>SUM(D42:H42)</f>
        <v>-2.8096237473583012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showGridLines="0" zoomScaleNormal="100" workbookViewId="0">
      <selection activeCell="J8" sqref="J8:O8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Power and Water 2024-29 Regulatory Proposal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0" t="s">
        <v>48</v>
      </c>
      <c r="M1" s="134" t="s">
        <v>36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79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185"/>
      <c r="K3" s="185"/>
      <c r="L3" s="185"/>
      <c r="M3" s="35"/>
      <c r="N3" s="185"/>
      <c r="O3" s="185"/>
      <c r="P3" s="185"/>
      <c r="Q3" s="185"/>
      <c r="R3" s="185"/>
      <c r="S3" s="185"/>
      <c r="T3" s="185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55</v>
      </c>
      <c r="C4" s="37"/>
      <c r="D4" s="37"/>
      <c r="E4" s="37"/>
      <c r="F4" s="37"/>
      <c r="G4" s="39"/>
      <c r="H4" s="39"/>
      <c r="I4" s="39"/>
      <c r="J4" s="40" t="s">
        <v>56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58</v>
      </c>
      <c r="D6" s="48" t="s">
        <v>6</v>
      </c>
      <c r="E6" s="48" t="s">
        <v>51</v>
      </c>
      <c r="F6" s="48" t="s">
        <v>4</v>
      </c>
      <c r="H6" s="48"/>
      <c r="I6" s="48"/>
      <c r="J6" s="155" t="str">
        <f>'Calc | CESS Revenue Increments'!D40</f>
        <v>2024-25</v>
      </c>
      <c r="K6" s="155" t="str">
        <f>'Calc | CESS Revenue Increments'!E40</f>
        <v>2025–26</v>
      </c>
      <c r="L6" s="155" t="str">
        <f>'Calc | CESS Revenue Increments'!F40</f>
        <v>2026–27</v>
      </c>
      <c r="M6" s="155" t="str">
        <f>'Calc | CESS Revenue Increments'!G40</f>
        <v>2027–28</v>
      </c>
      <c r="N6" s="155" t="str">
        <f>'Calc | CESS Revenue Increments'!H40</f>
        <v>2028–29</v>
      </c>
      <c r="O6" s="49" t="s">
        <v>85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82</v>
      </c>
      <c r="D8" s="157" t="s">
        <v>57</v>
      </c>
      <c r="E8" s="45" t="s">
        <v>49</v>
      </c>
      <c r="F8" s="156" t="str">
        <f>IF(LEN(J6)&gt;4,CONCATENATE(LEFT(J6,4)-1&amp;"–"&amp;IF(RIGHT(J6,2)="00","99",IF(RIGHT(J6,2)-1&lt;10,"0","")&amp;RIGHT(J6,2)-1)),J6-1)</f>
        <v>2023–24</v>
      </c>
      <c r="H8" s="48"/>
      <c r="I8" s="48"/>
      <c r="J8" s="176">
        <f>'Calc | CESS Revenue Increments'!D42</f>
        <v>-0.56192474947166027</v>
      </c>
      <c r="K8" s="176">
        <f>'Calc | CESS Revenue Increments'!E42</f>
        <v>-0.56192474947166027</v>
      </c>
      <c r="L8" s="176">
        <f>'Calc | CESS Revenue Increments'!F42</f>
        <v>-0.56192474947166027</v>
      </c>
      <c r="M8" s="176">
        <f>'Calc | CESS Revenue Increments'!G42</f>
        <v>-0.56192474947166027</v>
      </c>
      <c r="N8" s="176">
        <f>'Calc | CESS Revenue Increments'!H42</f>
        <v>-0.56192474947166027</v>
      </c>
      <c r="O8" s="178">
        <f>SUM(J8:N8)</f>
        <v>-2.8096237473583012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3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52"/>
      <c r="N17" s="52"/>
      <c r="O17" s="52"/>
      <c r="P17" s="52"/>
      <c r="Q17" s="52"/>
      <c r="R17" s="52"/>
      <c r="S17" s="52"/>
      <c r="T17" s="52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2023-09-07T23:14:43Z</dcterms:created>
  <dcterms:modified xsi:type="dcterms:W3CDTF">2023-09-07T23:15:05Z</dcterms:modified>
  <cp:category/>
  <cp:contentStatus/>
</cp:coreProperties>
</file>