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DF624423-0736-4B32-AC86-F468F1A24552}" xr6:coauthVersionLast="47" xr6:coauthVersionMax="47" xr10:uidLastSave="{00000000-0000-0000-0000-000000000000}"/>
  <bookViews>
    <workbookView xWindow="-120" yWindow="-120" windowWidth="29040" windowHeight="1584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3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23" i="3" s="1"/>
  <c r="H12" i="3"/>
  <c r="I16" i="3"/>
  <c r="I23" i="3" s="1"/>
  <c r="I12" i="3"/>
  <c r="L16" i="3"/>
  <c r="L23" i="3" s="1"/>
  <c r="L12" i="3"/>
  <c r="K16" i="3"/>
  <c r="K23" i="3" s="1"/>
  <c r="K12" i="3"/>
  <c r="J16" i="3"/>
  <c r="J23" i="3" s="1"/>
  <c r="J12" i="3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1" i="4"/>
  <c r="D11" i="4"/>
  <c r="C42" i="4" l="1"/>
  <c r="C44" i="4"/>
  <c r="D10" i="4"/>
  <c r="D12" i="4" s="1"/>
  <c r="G10" i="13"/>
  <c r="H10" i="13" s="1"/>
  <c r="I10" i="13" s="1"/>
  <c r="J10" i="13" s="1"/>
  <c r="K10" i="13" s="1"/>
  <c r="L10" i="13" s="1"/>
  <c r="I30" i="3" s="1"/>
  <c r="F10" i="4"/>
  <c r="E10" i="4"/>
  <c r="G11" i="4"/>
  <c r="F11" i="4"/>
  <c r="E11" i="4"/>
  <c r="F19" i="4"/>
  <c r="E19" i="4" s="1"/>
  <c r="D19" i="4" s="1"/>
  <c r="E25" i="4"/>
  <c r="E27" i="4" s="1"/>
  <c r="G10" i="4"/>
  <c r="H10" i="4"/>
  <c r="H12" i="4" s="1"/>
  <c r="H20" i="4" s="1"/>
  <c r="N14" i="13"/>
  <c r="N22" i="13" s="1"/>
  <c r="L15" i="13"/>
  <c r="M15" i="13" s="1"/>
  <c r="B1" i="5"/>
  <c r="B1" i="3"/>
  <c r="B1" i="13"/>
  <c r="B1" i="4"/>
  <c r="F13" i="4" l="1"/>
  <c r="G13" i="4"/>
  <c r="E13" i="4"/>
  <c r="E18" i="4" s="1"/>
  <c r="E21" i="4" s="1"/>
  <c r="H13" i="4"/>
  <c r="D21" i="4"/>
  <c r="D20" i="4"/>
  <c r="H30" i="3"/>
  <c r="H31" i="3" s="1"/>
  <c r="D26" i="4" s="1"/>
  <c r="D28" i="4" s="1"/>
  <c r="F12" i="4"/>
  <c r="F20" i="4" s="1"/>
  <c r="E12" i="4"/>
  <c r="G14" i="4" s="1"/>
  <c r="F25" i="4"/>
  <c r="F27" i="4" s="1"/>
  <c r="G12" i="4"/>
  <c r="G20" i="4" s="1"/>
  <c r="N15" i="13"/>
  <c r="M10" i="13"/>
  <c r="N10" i="13" s="1"/>
  <c r="K30" i="3" s="1"/>
  <c r="O14" i="13"/>
  <c r="O22" i="13" s="1"/>
  <c r="I31" i="3"/>
  <c r="E26" i="4" s="1"/>
  <c r="E28" i="4" s="1"/>
  <c r="G15" i="4" l="1"/>
  <c r="G18" i="4" s="1"/>
  <c r="G21" i="4" s="1"/>
  <c r="H15" i="4"/>
  <c r="H16" i="4"/>
  <c r="H14" i="4"/>
  <c r="E20" i="4"/>
  <c r="F14" i="4"/>
  <c r="F18" i="4" s="1"/>
  <c r="F21" i="4" s="1"/>
  <c r="J30" i="3"/>
  <c r="J31" i="3" s="1"/>
  <c r="F26" i="4" s="1"/>
  <c r="F28" i="4" s="1"/>
  <c r="O10" i="13"/>
  <c r="P10" i="13" s="1"/>
  <c r="P14" i="13"/>
  <c r="P22" i="13" s="1"/>
  <c r="G25" i="4"/>
  <c r="G27" i="4" s="1"/>
  <c r="K31" i="3"/>
  <c r="G26" i="4" s="1"/>
  <c r="O15" i="13"/>
  <c r="H18" i="4" l="1"/>
  <c r="H21" i="4" s="1"/>
  <c r="D35" i="4" s="1"/>
  <c r="H25" i="4"/>
  <c r="H27" i="4" s="1"/>
  <c r="P15" i="13"/>
  <c r="L30" i="3"/>
  <c r="L31" i="3" s="1"/>
  <c r="H26" i="4" s="1"/>
  <c r="G28" i="4"/>
  <c r="H28" i="4" l="1"/>
  <c r="D31" i="4" s="1"/>
  <c r="D34" i="4" s="1"/>
  <c r="D36" i="4" s="1"/>
  <c r="D42" i="4" s="1"/>
  <c r="E42" i="4" s="1"/>
  <c r="F42" i="4" s="1"/>
  <c r="G42" i="4" s="1"/>
  <c r="H42" i="4" s="1"/>
  <c r="D33" i="4" l="1"/>
  <c r="J8" i="10"/>
  <c r="K8" i="10" l="1"/>
  <c r="L8" i="10" l="1"/>
  <c r="M8" i="10" l="1"/>
  <c r="N8" i="10" l="1"/>
  <c r="O8" i="10" s="1"/>
  <c r="D44" i="4"/>
</calcChain>
</file>

<file path=xl/sharedStrings.xml><?xml version="1.0" encoding="utf-8"?>
<sst xmlns="http://schemas.openxmlformats.org/spreadsheetml/2006/main" count="203" uniqueCount="108">
  <si>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</si>
  <si>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</si>
  <si>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</si>
  <si>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</si>
  <si>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</si>
  <si>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</si>
  <si>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</si>
  <si>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</si>
  <si>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</si>
  <si>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</si>
  <si>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</si>
  <si>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</si>
  <si>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</si>
  <si>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</si>
  <si>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</si>
  <si>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</si>
  <si>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</si>
  <si>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</si>
  <si>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</si>
  <si>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Essential Energy</t>
  </si>
  <si>
    <t>Determination stage</t>
  </si>
  <si>
    <t>Determination years</t>
  </si>
  <si>
    <t>2024-29</t>
  </si>
  <si>
    <t>Base regulatory year</t>
  </si>
  <si>
    <t>2024-25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</si>
  <si>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</si>
  <si>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</si>
  <si>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</si>
  <si>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</si>
  <si>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</si>
  <si>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</si>
  <si>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</si>
  <si>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</si>
  <si>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</si>
  <si>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</si>
  <si>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</si>
  <si>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</si>
  <si>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</si>
  <si>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</si>
  <si>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</si>
  <si>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</si>
  <si>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</si>
  <si>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</si>
  <si>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</si>
  <si>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</si>
  <si>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</si>
  <si>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</si>
  <si>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</si>
  <si>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</si>
  <si>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</si>
  <si>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</si>
  <si>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</si>
  <si>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</si>
  <si>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</si>
  <si>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</si>
  <si>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</si>
  <si>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</si>
  <si>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</si>
  <si>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</si>
  <si>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</si>
  <si>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</si>
  <si>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</si>
  <si>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</si>
  <si>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</si>
  <si>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</si>
  <si>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</si>
  <si>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</si>
  <si>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$ nominal, mid year</t>
  </si>
  <si>
    <t>$ real, Jun 2019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</si>
  <si>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</si>
  <si>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</si>
  <si>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</si>
  <si>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</si>
  <si>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</si>
  <si>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</si>
  <si>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</si>
  <si>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</si>
  <si>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</si>
  <si>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</si>
  <si>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</si>
  <si>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</si>
  <si>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</si>
  <si>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</si>
  <si>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</si>
  <si>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</si>
  <si>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</si>
  <si>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</si>
  <si>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</si>
  <si>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</si>
  <si>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</si>
  <si>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</si>
  <si>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</si>
  <si>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</si>
  <si>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</si>
  <si>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</si>
  <si>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</si>
  <si>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</si>
  <si>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</si>
  <si>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</si>
  <si>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</si>
  <si>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</si>
  <si>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</si>
  <si>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</si>
  <si>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</si>
  <si>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</si>
  <si>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</si>
  <si>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AER Draft Decision</t>
  </si>
  <si>
    <t>Draft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</si>
</sst>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187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7" fillId="3" borderId="33" xfId="0" applyFont="1" applyFill="1" applyBorder="1"/>
    <xf numFmtId="0" fontId="97" fillId="3" borderId="20" xfId="0" applyFont="1" applyFill="1" applyBorder="1"/>
    <xf numFmtId="0" fontId="12" fillId="0" borderId="37" xfId="0" applyFont="1" applyBorder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0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24" fillId="55" borderId="24" xfId="1" applyFont="1" applyFill="1" applyBorder="1" applyAlignment="1">
      <alignment horizontal="center" vertical="center"/>
    </xf>
    <xf numFmtId="191" fontId="24" fillId="55" borderId="26" xfId="0" applyNumberFormat="1" applyFont="1" applyFill="1" applyBorder="1" applyAlignment="1">
      <alignment horizontal="center" vertical="center"/>
    </xf>
    <xf numFmtId="191" fontId="15" fillId="55" borderId="26" xfId="268" applyNumberFormat="1" applyFont="1" applyFill="1" applyBorder="1" applyAlignment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191" fontId="24" fillId="55" borderId="26" xfId="268" applyNumberFormat="1" applyFont="1" applyFill="1" applyBorder="1" applyAlignment="1">
      <alignment horizontal="center" vertical="center"/>
    </xf>
    <xf numFmtId="10" fontId="15" fillId="55" borderId="26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188" fontId="20" fillId="55" borderId="24" xfId="55" applyNumberFormat="1" applyFont="1" applyFill="1" applyBorder="1" applyAlignment="1" applyProtection="1">
      <alignment horizontal="center" vertical="center"/>
    </xf>
    <xf numFmtId="0" fontId="19" fillId="55" borderId="25" xfId="0" applyFont="1" applyFill="1" applyBorder="1" applyAlignment="1">
      <alignment horizontal="center" vertical="center"/>
    </xf>
    <xf numFmtId="0" fontId="100" fillId="56" borderId="0" xfId="265" applyFont="1" applyFill="1" applyAlignment="1">
      <alignment horizontal="center" vertical="center" wrapText="1"/>
    </xf>
    <xf numFmtId="0" fontId="24" fillId="56" borderId="24" xfId="1" applyFont="1" applyFill="1" applyBorder="1" applyAlignment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2" fontId="24" fillId="57" borderId="24" xfId="1" applyNumberFormat="1" applyFont="1" applyFill="1" applyBorder="1" applyAlignment="1">
      <alignment horizontal="center" vertical="center"/>
    </xf>
    <xf numFmtId="0" fontId="99" fillId="0" borderId="0" xfId="0" applyFont="1" applyFill="1" applyAlignment="1">
      <alignment horizontal="center" vertical="center"/>
    </xf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bo_000/Documents/AAaAER/eaAER%20Transgrid%202018-23/Capex/aexAER/20170814/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tabSelected="1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Essential Energy 2024-29 Draft Decision - Capital expenditure sharing scheme model</v>
      </c>
      <c r="D1" s="4"/>
      <c r="E1" s="4"/>
    </row>
    <row r="2" spans="2:13" ht="18" customHeight="1">
      <c r="B2" s="27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5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5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5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5" t="s">
        <v>10</v>
      </c>
      <c r="D10" s="26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5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2.75" customHeight="1"/>
    <row r="13" spans="2:13" s="8" customFormat="1" ht="12.75" customHeight="1">
      <c r="C13" s="23" t="s">
        <v>14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20.5703125" style="11" customWidth="1"/>
    <col min="5" max="8" width="12.7109375" style="11" customWidth="1"/>
    <col min="9" max="9" width="9.42578125" style="11" customWidth="1"/>
    <col min="10" max="10" width="9.285156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Essential Energy 2024-29 Draft Decision - Capital expenditure sharing scheme model</v>
      </c>
      <c r="F1" s="92"/>
      <c r="G1" s="93" t="s">
        <v>15</v>
      </c>
      <c r="H1" s="130" t="s">
        <v>16</v>
      </c>
      <c r="I1" s="134" t="s">
        <v>17</v>
      </c>
      <c r="J1" s="180" t="s">
        <v>106</v>
      </c>
      <c r="M1" s="94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53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0" customFormat="1" ht="11.25" customHeight="1">
      <c r="C6" s="59" t="s">
        <v>18</v>
      </c>
      <c r="D6" s="131" t="s">
        <v>19</v>
      </c>
      <c r="J6" s="69"/>
      <c r="K6" s="69"/>
      <c r="L6" s="69"/>
      <c r="M6" s="69"/>
    </row>
    <row r="7" spans="1:13" s="60" customFormat="1" ht="11.25" customHeight="1">
      <c r="C7" s="59" t="s">
        <v>20</v>
      </c>
      <c r="D7" s="181" t="s">
        <v>107</v>
      </c>
      <c r="I7" s="69"/>
      <c r="J7" s="69"/>
      <c r="K7" s="69"/>
      <c r="L7" s="69"/>
    </row>
    <row r="8" spans="1:13" s="60" customFormat="1" ht="11.25" customHeight="1">
      <c r="C8" s="59" t="s">
        <v>21</v>
      </c>
      <c r="D8" s="131" t="s">
        <v>22</v>
      </c>
      <c r="J8" s="69"/>
      <c r="K8" s="69"/>
      <c r="L8" s="69"/>
      <c r="M8" s="69"/>
    </row>
    <row r="9" spans="1:13" s="60" customFormat="1" ht="11.25" customHeight="1">
      <c r="C9" s="159" t="s">
        <v>23</v>
      </c>
      <c r="D9" s="131" t="s">
        <v>24</v>
      </c>
      <c r="J9" s="69"/>
      <c r="K9" s="69"/>
      <c r="L9" s="69"/>
      <c r="M9" s="69"/>
    </row>
    <row r="10" spans="1:13" s="60" customFormat="1" ht="11.25" customHeight="1">
      <c r="C10" s="59"/>
      <c r="J10" s="69"/>
      <c r="K10" s="69"/>
      <c r="L10" s="69"/>
      <c r="M10" s="69"/>
    </row>
    <row r="11" spans="1:13" s="60" customFormat="1" ht="11.25" customHeight="1">
      <c r="C11" s="81" t="s">
        <v>25</v>
      </c>
      <c r="J11" s="69"/>
      <c r="K11" s="69"/>
      <c r="L11" s="69"/>
      <c r="M11" s="69"/>
    </row>
    <row r="12" spans="1:13" s="60" customFormat="1" ht="11.25" customHeight="1">
      <c r="C12" s="59"/>
      <c r="D12" s="61" t="s">
        <v>26</v>
      </c>
      <c r="E12" s="61" t="s">
        <v>27</v>
      </c>
      <c r="F12" s="61" t="s">
        <v>28</v>
      </c>
      <c r="G12" s="61" t="s">
        <v>29</v>
      </c>
      <c r="H12" s="61" t="s">
        <v>30</v>
      </c>
      <c r="J12" s="69"/>
      <c r="K12" s="69"/>
      <c r="L12" s="69"/>
      <c r="M12" s="69"/>
    </row>
    <row r="13" spans="1:13" s="60" customFormat="1" ht="11.25" customHeight="1">
      <c r="C13" s="59" t="s">
        <v>31</v>
      </c>
      <c r="D13" s="158" t="str">
        <f t="shared" ref="D13:F13" si="0">IF(LEN(E13)&gt;4,CONCATENATE(LEFT(E13,4)-1&amp;"–"&amp;IF(RIGHT(E13,2)="00","99",IF(RIGHT(E13,2)-1&lt;10,"0","")&amp;RIGHT(E13,2)-1)),E13-1)</f>
        <v>2019–20</v>
      </c>
      <c r="E13" s="158" t="str">
        <f t="shared" si="0"/>
        <v>2020–21</v>
      </c>
      <c r="F13" s="158" t="str">
        <f t="shared" si="0"/>
        <v>2021–22</v>
      </c>
      <c r="G13" s="158" t="str">
        <f>IF(LEN(H13)&gt;4,CONCATENATE(LEFT(H13,4)-1&amp;"–"&amp;IF(RIGHT(H13,2)="00","99",IF(RIGHT(H13,2)-1&lt;10,"0","")&amp;RIGHT(H13,2)-1)),H13-1)</f>
        <v>2022–23</v>
      </c>
      <c r="H13" s="158" t="str">
        <f>IF(LEN(D9)&gt;4,CONCATENATE(LEFT(D9,4)-1&amp;"–"&amp;IF(RIGHT(D9,2)="00","99",IF(RIGHT(D9,2)-1&lt;10,"0","")&amp;RIGHT(D9,2)-1)),D9-1)</f>
        <v>2023–24</v>
      </c>
      <c r="J13" s="69"/>
      <c r="K13" s="69"/>
      <c r="L13" s="69"/>
      <c r="M13" s="69"/>
    </row>
    <row r="14" spans="1:13" s="60" customFormat="1" ht="11.25" customHeight="1">
      <c r="C14" s="59" t="s">
        <v>32</v>
      </c>
      <c r="D14" s="131" t="s">
        <v>33</v>
      </c>
      <c r="E14" s="131" t="s">
        <v>33</v>
      </c>
      <c r="F14" s="131" t="s">
        <v>33</v>
      </c>
      <c r="G14" s="131" t="s">
        <v>33</v>
      </c>
      <c r="H14" s="131" t="s">
        <v>33</v>
      </c>
      <c r="J14" s="69"/>
      <c r="K14" s="69"/>
      <c r="L14" s="69"/>
      <c r="M14" s="69"/>
    </row>
    <row r="15" spans="1:13" s="60" customFormat="1" ht="11.25" customHeight="1">
      <c r="C15" s="59" t="s">
        <v>34</v>
      </c>
      <c r="D15" s="131" t="s">
        <v>35</v>
      </c>
      <c r="E15" s="131" t="s">
        <v>35</v>
      </c>
      <c r="F15" s="131" t="s">
        <v>35</v>
      </c>
      <c r="G15" s="131" t="s">
        <v>36</v>
      </c>
      <c r="H15" s="131" t="s">
        <v>36</v>
      </c>
      <c r="J15" s="69"/>
      <c r="K15" s="69"/>
      <c r="L15" s="69"/>
      <c r="M15" s="69"/>
    </row>
    <row r="16" spans="1:13" s="60" customFormat="1" ht="11.25" customHeight="1">
      <c r="C16" s="59"/>
      <c r="D16" s="69"/>
      <c r="E16" s="69"/>
      <c r="F16" s="69"/>
      <c r="G16" s="69"/>
      <c r="H16" s="69"/>
      <c r="J16" s="69"/>
      <c r="K16" s="69"/>
      <c r="L16" s="69"/>
      <c r="M16" s="69"/>
    </row>
    <row r="17" spans="1:13" s="60" customFormat="1" ht="11.25" customHeight="1">
      <c r="C17" s="59"/>
      <c r="D17" s="61" t="s">
        <v>26</v>
      </c>
      <c r="E17" s="61" t="s">
        <v>27</v>
      </c>
      <c r="F17" s="61" t="s">
        <v>28</v>
      </c>
      <c r="G17" s="61" t="s">
        <v>29</v>
      </c>
      <c r="H17" s="61" t="s">
        <v>30</v>
      </c>
      <c r="J17" s="69"/>
      <c r="K17" s="69"/>
      <c r="L17" s="69"/>
      <c r="M17" s="69"/>
    </row>
    <row r="18" spans="1:13" s="60" customFormat="1" ht="11.25" customHeight="1">
      <c r="C18" s="59" t="s">
        <v>37</v>
      </c>
      <c r="D18" s="170" t="str">
        <f>D9</f>
        <v>2024-25</v>
      </c>
      <c r="E18" s="170" t="str">
        <f>IF(LEN(D18)&gt;4,CONCATENATE(LEFT(D18,4)+1&amp;"–"&amp;IF(RIGHT(D18,2)+1&gt;9,"","0")&amp;RIGHT(D18,2)+1),D18+1)</f>
        <v>2025–26</v>
      </c>
      <c r="F18" s="170" t="str">
        <f t="shared" ref="F18:H18" si="1">IF(LEN(E18)&gt;4,CONCATENATE(LEFT(E18,4)+1&amp;"–"&amp;IF(RIGHT(E18,2)+1&gt;9,"","0")&amp;RIGHT(E18,2)+1),E18+1)</f>
        <v>2026–27</v>
      </c>
      <c r="G18" s="170" t="str">
        <f t="shared" si="1"/>
        <v>2027–28</v>
      </c>
      <c r="H18" s="170" t="str">
        <f t="shared" si="1"/>
        <v>2028–29</v>
      </c>
      <c r="J18" s="69"/>
      <c r="K18" s="69"/>
      <c r="L18" s="69"/>
      <c r="M18" s="69"/>
    </row>
    <row r="19" spans="1:13" s="60" customFormat="1" ht="11.25" customHeight="1">
      <c r="C19" s="69"/>
      <c r="D19" s="69"/>
      <c r="E19" s="69"/>
      <c r="F19" s="69"/>
      <c r="G19" s="69"/>
      <c r="H19" s="69"/>
      <c r="J19" s="69"/>
      <c r="K19" s="69"/>
      <c r="L19" s="69"/>
      <c r="M19" s="69"/>
    </row>
    <row r="20" spans="1:13" s="60" customFormat="1" ht="11.25" customHeight="1">
      <c r="J20" s="69"/>
      <c r="K20" s="69"/>
      <c r="L20" s="69"/>
      <c r="M20" s="69"/>
    </row>
    <row r="21" spans="1:13" s="53" customFormat="1" ht="12.75" customHeight="1">
      <c r="A21" s="8"/>
      <c r="B21" s="23" t="s">
        <v>14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1:20" s="2" customFormat="1" ht="18" customHeight="1">
      <c r="B1" s="3" t="str">
        <f>'Input | General'!$B$1</f>
        <v>Essential Energy 2024-29 Draft Decision - Capital expenditure sharing scheme model</v>
      </c>
      <c r="D1" s="3"/>
      <c r="E1" s="3"/>
      <c r="F1" s="3"/>
      <c r="G1" s="92"/>
      <c r="H1" s="93" t="s">
        <v>15</v>
      </c>
      <c r="I1" s="130" t="s">
        <v>16</v>
      </c>
      <c r="J1" s="134" t="s">
        <v>17</v>
      </c>
      <c r="K1" s="180" t="s">
        <v>106</v>
      </c>
      <c r="L1" s="185"/>
      <c r="N1" s="94"/>
      <c r="O1" s="69"/>
      <c r="P1" s="69"/>
      <c r="Q1" s="69"/>
      <c r="R1" s="69"/>
      <c r="S1" s="69"/>
      <c r="T1" s="69"/>
    </row>
    <row r="2" spans="1:20" s="2" customFormat="1" ht="18" customHeight="1">
      <c r="C2" s="10" t="s">
        <v>38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1" customFormat="1" ht="12.75" customHeight="1">
      <c r="C4" s="23" t="s">
        <v>39</v>
      </c>
      <c r="D4" s="72"/>
      <c r="E4" s="72"/>
      <c r="F4" s="72"/>
      <c r="M4" s="73"/>
    </row>
    <row r="5" spans="1:20" ht="11.25" customHeight="1">
      <c r="A5" s="2"/>
      <c r="B5" s="2"/>
      <c r="C5" s="13"/>
      <c r="D5" s="69"/>
      <c r="E5" s="69"/>
      <c r="F5" s="69"/>
      <c r="N5" s="2"/>
    </row>
    <row r="6" spans="1:20" ht="11.25" customHeight="1">
      <c r="A6" s="2"/>
      <c r="B6" s="2"/>
      <c r="C6" s="13"/>
      <c r="D6" s="65" t="s">
        <v>40</v>
      </c>
      <c r="E6" s="65" t="s">
        <v>41</v>
      </c>
      <c r="F6" s="65"/>
      <c r="N6" s="2"/>
    </row>
    <row r="7" spans="1:20" ht="11.25" customHeight="1">
      <c r="A7" s="2"/>
      <c r="B7" s="2"/>
      <c r="C7" s="13"/>
      <c r="D7" s="69"/>
      <c r="E7" s="69"/>
      <c r="F7" s="147" t="str">
        <f>IF(LEN(G7)&gt;4,CONCATENATE(LEFT(G7,4)-1&amp;"–"&amp;IF(RIGHT(G7,2)="00","99",IF(RIGHT(G7,2)-1&lt;10,"0","")&amp;RIGHT(G7,2)-1)),G7-1)</f>
        <v>2018–19</v>
      </c>
      <c r="G7" s="146" t="str">
        <f>'Input | General'!D13</f>
        <v>2019–20</v>
      </c>
      <c r="H7" s="146" t="str">
        <f>'Input | General'!E13</f>
        <v>2020–21</v>
      </c>
      <c r="I7" s="146" t="str">
        <f>'Input | General'!F13</f>
        <v>2021–22</v>
      </c>
      <c r="J7" s="146" t="str">
        <f>'Input | General'!G13</f>
        <v>2022–23</v>
      </c>
      <c r="K7" s="146" t="str">
        <f>'Input | General'!H13</f>
        <v>2023–24</v>
      </c>
      <c r="L7" s="146" t="str">
        <f>'Input | General'!D18</f>
        <v>2024-25</v>
      </c>
      <c r="M7" s="146" t="str">
        <f>'Input | General'!E18</f>
        <v>2025–26</v>
      </c>
      <c r="N7" s="146" t="str">
        <f>'Input | General'!F18</f>
        <v>2026–27</v>
      </c>
      <c r="O7" s="146" t="str">
        <f>'Input | General'!G18</f>
        <v>2027–28</v>
      </c>
      <c r="P7" s="146" t="str">
        <f>'Input | General'!H18</f>
        <v>2028–29</v>
      </c>
    </row>
    <row r="8" spans="1:20" ht="11.25" customHeight="1">
      <c r="A8" s="2"/>
      <c r="B8" s="2"/>
      <c r="C8" s="70" t="s">
        <v>42</v>
      </c>
      <c r="D8" s="68" t="s">
        <v>43</v>
      </c>
      <c r="E8" s="68" t="s">
        <v>44</v>
      </c>
      <c r="F8" s="68"/>
      <c r="G8" s="169">
        <v>1.84E-2</v>
      </c>
      <c r="H8" s="169">
        <v>8.6E-3</v>
      </c>
      <c r="I8" s="169">
        <v>3.5000000000000003E-2</v>
      </c>
      <c r="J8" s="169">
        <v>7.7499999999999999E-2</v>
      </c>
      <c r="K8" s="169">
        <v>4.2500000000000003E-2</v>
      </c>
      <c r="L8" s="76"/>
      <c r="M8" s="76"/>
      <c r="N8" s="76"/>
      <c r="O8" s="76"/>
      <c r="P8" s="76"/>
    </row>
    <row r="9" spans="1:20" ht="11.25" customHeight="1">
      <c r="A9" s="2"/>
      <c r="B9" s="2"/>
      <c r="C9" s="70" t="s">
        <v>45</v>
      </c>
      <c r="D9" s="68" t="s">
        <v>43</v>
      </c>
      <c r="E9" s="68" t="s">
        <v>44</v>
      </c>
      <c r="F9" s="68"/>
      <c r="G9" s="112"/>
      <c r="H9" s="112"/>
      <c r="I9" s="112"/>
      <c r="J9" s="112"/>
      <c r="K9" s="112"/>
      <c r="L9" s="169">
        <v>2.5000000000000001E-2</v>
      </c>
      <c r="M9" s="173">
        <f t="shared" ref="M9:P9" si="0">L9</f>
        <v>2.5000000000000001E-2</v>
      </c>
      <c r="N9" s="173">
        <f t="shared" si="0"/>
        <v>2.5000000000000001E-2</v>
      </c>
      <c r="O9" s="173">
        <f t="shared" si="0"/>
        <v>2.5000000000000001E-2</v>
      </c>
      <c r="P9" s="173">
        <f t="shared" si="0"/>
        <v>2.5000000000000001E-2</v>
      </c>
    </row>
    <row r="10" spans="1:20" ht="11.25" customHeight="1">
      <c r="A10" s="2"/>
      <c r="B10" s="2"/>
      <c r="C10" s="118" t="str">
        <f>"CPI Index (base year "&amp;F7&amp;")"</f>
        <v>CPI Index (base year 2018–19)</v>
      </c>
      <c r="D10" s="68" t="s">
        <v>43</v>
      </c>
      <c r="E10" s="68" t="s">
        <v>0</v>
      </c>
      <c r="F10" s="171">
        <v>1</v>
      </c>
      <c r="G10" s="172">
        <f>IF(G7&lt;&gt;"",(F10*(1+G8)),"")</f>
        <v>1.0184</v>
      </c>
      <c r="H10" s="172">
        <f>IF(H7&lt;&gt;"",(G10*(1+H8)),"")</f>
        <v>1.0271582399999999</v>
      </c>
      <c r="I10" s="172">
        <f>IF(I7&lt;&gt;"",(H10*(1+I8)),"")</f>
        <v>1.0631087783999997</v>
      </c>
      <c r="J10" s="172">
        <f>IF(J7&lt;&gt;"",(I10*(1+J8)),"")</f>
        <v>1.1454997087259997</v>
      </c>
      <c r="K10" s="172">
        <f>IF(K7&lt;&gt;"",(J10*(1+K8)),"")</f>
        <v>1.1941834463468546</v>
      </c>
      <c r="L10" s="172">
        <f t="shared" ref="L10:P10" si="1">IF(L7&lt;&gt;"",(K10*(1+L9)),"")</f>
        <v>1.2240380325055258</v>
      </c>
      <c r="M10" s="172">
        <f t="shared" si="1"/>
        <v>1.2546389833181639</v>
      </c>
      <c r="N10" s="172">
        <f t="shared" si="1"/>
        <v>1.2860049579011179</v>
      </c>
      <c r="O10" s="172">
        <f t="shared" si="1"/>
        <v>1.3181550818486458</v>
      </c>
      <c r="P10" s="172">
        <f t="shared" si="1"/>
        <v>1.3511089588948619</v>
      </c>
    </row>
    <row r="11" spans="1:20" ht="11.25" customHeight="1">
      <c r="A11" s="2"/>
      <c r="B11" s="2"/>
      <c r="C11" s="70"/>
      <c r="D11" s="68"/>
      <c r="E11" s="68"/>
      <c r="F11" s="68"/>
      <c r="G11" s="76"/>
      <c r="H11" s="76"/>
      <c r="I11" s="76"/>
      <c r="J11" s="76"/>
      <c r="K11" s="113"/>
      <c r="L11" s="113"/>
      <c r="M11" s="113"/>
      <c r="N11" s="113"/>
      <c r="O11" s="113"/>
      <c r="P11" s="113"/>
    </row>
    <row r="12" spans="1:20" ht="11.25" customHeight="1">
      <c r="A12" s="2"/>
      <c r="B12" s="2"/>
      <c r="C12" s="70"/>
      <c r="D12" s="68"/>
      <c r="E12" s="68"/>
      <c r="F12" s="68"/>
      <c r="G12" s="111"/>
      <c r="H12" s="111"/>
      <c r="I12" s="111"/>
      <c r="J12" s="111"/>
      <c r="K12" s="19"/>
      <c r="L12" s="19"/>
      <c r="M12" s="19"/>
    </row>
    <row r="13" spans="1:20" ht="11.25" customHeight="1">
      <c r="A13" s="2"/>
      <c r="B13" s="2"/>
      <c r="C13" s="70" t="s">
        <v>42</v>
      </c>
      <c r="D13" s="68" t="s">
        <v>46</v>
      </c>
      <c r="E13" s="68" t="s">
        <v>44</v>
      </c>
      <c r="F13" s="68"/>
      <c r="G13" s="182">
        <v>1.8404907975460238E-2</v>
      </c>
      <c r="H13" s="182">
        <v>8.6058519793459354E-3</v>
      </c>
      <c r="I13" s="182">
        <v>3.4982935153583528E-2</v>
      </c>
      <c r="J13" s="182">
        <v>7.8318219291014124E-2</v>
      </c>
      <c r="K13" s="182">
        <v>4.1000000000000002E-2</v>
      </c>
      <c r="L13" s="161"/>
      <c r="M13" s="161"/>
      <c r="N13" s="161"/>
      <c r="O13" s="161"/>
      <c r="P13" s="161"/>
    </row>
    <row r="14" spans="1:20" ht="11.25" customHeight="1">
      <c r="A14" s="2"/>
      <c r="B14" s="2"/>
      <c r="C14" s="70" t="s">
        <v>45</v>
      </c>
      <c r="D14" s="68" t="s">
        <v>46</v>
      </c>
      <c r="E14" s="68" t="s">
        <v>44</v>
      </c>
      <c r="F14" s="68"/>
      <c r="G14" s="76"/>
      <c r="H14" s="76"/>
      <c r="I14" s="76"/>
      <c r="J14" s="113"/>
      <c r="K14" s="113"/>
      <c r="L14" s="182">
        <v>2.7997811278454687E-2</v>
      </c>
      <c r="M14" s="173">
        <f t="shared" ref="M14:P14" si="2">L14</f>
        <v>2.7997811278454687E-2</v>
      </c>
      <c r="N14" s="173">
        <f t="shared" si="2"/>
        <v>2.7997811278454687E-2</v>
      </c>
      <c r="O14" s="173">
        <f t="shared" si="2"/>
        <v>2.7997811278454687E-2</v>
      </c>
      <c r="P14" s="173">
        <f t="shared" si="2"/>
        <v>2.7997811278454687E-2</v>
      </c>
    </row>
    <row r="15" spans="1:20" ht="11.25" customHeight="1">
      <c r="A15" s="2"/>
      <c r="B15" s="2"/>
      <c r="C15" s="118" t="str">
        <f>"CPI Index (base year "&amp;F7&amp;")"</f>
        <v>CPI Index (base year 2018–19)</v>
      </c>
      <c r="D15" s="68" t="s">
        <v>46</v>
      </c>
      <c r="E15" s="68" t="s">
        <v>0</v>
      </c>
      <c r="F15" s="171">
        <v>1</v>
      </c>
      <c r="G15" s="172">
        <f>IF(G7&lt;&gt;"",(F15*(1+G13)),"")</f>
        <v>1.0184049079754602</v>
      </c>
      <c r="H15" s="172">
        <f>IF(H7&lt;&gt;"",(G15*(1+H13)),"")</f>
        <v>1.0271691498685365</v>
      </c>
      <c r="I15" s="172">
        <f>IF(I7&lt;&gt;"",(H15*(1+I13)),"")</f>
        <v>1.0631025416301489</v>
      </c>
      <c r="J15" s="174">
        <f>IF(J7&lt;&gt;"",(I15*(1+J13)),"")</f>
        <v>1.1463628396143735</v>
      </c>
      <c r="K15" s="174">
        <f>IF(K7&lt;&gt;"",(J15*(1+K13)),"")</f>
        <v>1.1933637160385626</v>
      </c>
      <c r="L15" s="174">
        <f t="shared" ref="L15:P15" si="3">IF(L7&lt;&gt;"",(K15*(1+L14)),"")</f>
        <v>1.2267752881467657</v>
      </c>
      <c r="M15" s="174">
        <f t="shared" si="3"/>
        <v>1.2611223111453707</v>
      </c>
      <c r="N15" s="174">
        <f t="shared" si="3"/>
        <v>1.2964309756118673</v>
      </c>
      <c r="O15" s="174">
        <f t="shared" si="3"/>
        <v>1.3327282054025913</v>
      </c>
      <c r="P15" s="174">
        <f t="shared" si="3"/>
        <v>1.3700416781829265</v>
      </c>
    </row>
    <row r="16" spans="1:20" ht="11.25" customHeight="1">
      <c r="A16" s="2"/>
      <c r="B16" s="2"/>
      <c r="C16" s="70"/>
      <c r="D16" s="68"/>
      <c r="E16" s="68"/>
      <c r="F16" s="68"/>
      <c r="G16" s="76"/>
      <c r="H16" s="76"/>
      <c r="I16" s="76"/>
      <c r="J16" s="113"/>
      <c r="K16" s="162"/>
      <c r="L16" s="162"/>
      <c r="M16" s="162"/>
      <c r="N16" s="162"/>
      <c r="O16" s="162"/>
      <c r="P16" s="162"/>
    </row>
    <row r="17" spans="1:16" s="71" customFormat="1" ht="12.75" customHeight="1">
      <c r="C17" s="23" t="s">
        <v>47</v>
      </c>
      <c r="D17" s="72"/>
      <c r="E17" s="72"/>
      <c r="F17" s="72"/>
      <c r="J17" s="163"/>
      <c r="K17" s="163"/>
      <c r="L17" s="163"/>
      <c r="M17" s="164"/>
      <c r="N17" s="163"/>
      <c r="O17" s="163"/>
      <c r="P17" s="163"/>
    </row>
    <row r="18" spans="1:16" ht="11.25" customHeight="1">
      <c r="A18" s="13"/>
      <c r="B18" s="69"/>
      <c r="C18" s="69"/>
      <c r="D18" s="69"/>
      <c r="E18" s="69"/>
      <c r="F18" s="65"/>
      <c r="J18" s="11"/>
      <c r="K18" s="11"/>
      <c r="L18" s="11"/>
      <c r="M18" s="165"/>
      <c r="N18" s="11"/>
      <c r="O18" s="166"/>
      <c r="P18" s="166"/>
    </row>
    <row r="19" spans="1:16" ht="11.25" customHeight="1">
      <c r="C19" s="13"/>
      <c r="D19" s="65" t="s">
        <v>40</v>
      </c>
      <c r="E19" s="65" t="s">
        <v>41</v>
      </c>
      <c r="F19" s="69"/>
      <c r="G19" s="146" t="str">
        <f>G7</f>
        <v>2019–20</v>
      </c>
      <c r="H19" s="146" t="str">
        <f t="shared" ref="H19:P19" si="4">H7</f>
        <v>2020–21</v>
      </c>
      <c r="I19" s="146" t="str">
        <f t="shared" si="4"/>
        <v>2021–22</v>
      </c>
      <c r="J19" s="167" t="str">
        <f t="shared" si="4"/>
        <v>2022–23</v>
      </c>
      <c r="K19" s="167" t="str">
        <f t="shared" si="4"/>
        <v>2023–24</v>
      </c>
      <c r="L19" s="167" t="str">
        <f t="shared" si="4"/>
        <v>2024-25</v>
      </c>
      <c r="M19" s="167" t="str">
        <f t="shared" si="4"/>
        <v>2025–26</v>
      </c>
      <c r="N19" s="167" t="str">
        <f t="shared" si="4"/>
        <v>2026–27</v>
      </c>
      <c r="O19" s="167" t="str">
        <f t="shared" si="4"/>
        <v>2027–28</v>
      </c>
      <c r="P19" s="167" t="str">
        <f t="shared" si="4"/>
        <v>2028–29</v>
      </c>
    </row>
    <row r="20" spans="1:16" ht="11.25" customHeight="1">
      <c r="C20" s="70" t="s">
        <v>48</v>
      </c>
      <c r="D20" s="68" t="s">
        <v>46</v>
      </c>
      <c r="E20" s="68" t="s">
        <v>44</v>
      </c>
      <c r="F20" s="69"/>
      <c r="G20" s="182">
        <v>3.2529897471437107E-2</v>
      </c>
      <c r="H20" s="182">
        <v>3.0527897231024559E-2</v>
      </c>
      <c r="I20" s="182">
        <v>2.820723689104012E-2</v>
      </c>
      <c r="J20" s="182">
        <v>2.6199183252718906E-2</v>
      </c>
      <c r="K20" s="182">
        <v>2.5987255679290257E-2</v>
      </c>
      <c r="L20" s="113"/>
      <c r="M20" s="113"/>
      <c r="N20" s="113"/>
      <c r="O20" s="113"/>
      <c r="P20" s="113"/>
    </row>
    <row r="21" spans="1:16" ht="11.25" customHeight="1">
      <c r="C21" s="127" t="s">
        <v>49</v>
      </c>
      <c r="D21" s="68" t="s">
        <v>46</v>
      </c>
      <c r="E21" s="68" t="s">
        <v>44</v>
      </c>
      <c r="F21" s="69"/>
      <c r="G21" s="69"/>
      <c r="H21" s="69"/>
      <c r="I21" s="69"/>
      <c r="J21" s="168"/>
      <c r="K21" s="168"/>
      <c r="L21" s="182">
        <v>2.9479996327190384E-2</v>
      </c>
      <c r="M21" s="182">
        <v>3.0045917998011484E-2</v>
      </c>
      <c r="N21" s="182">
        <v>3.0866796112964681E-2</v>
      </c>
      <c r="O21" s="182">
        <v>3.1713933006574546E-2</v>
      </c>
      <c r="P21" s="182">
        <v>3.2692051830536958E-2</v>
      </c>
    </row>
    <row r="22" spans="1:16" ht="11.25" customHeight="1">
      <c r="C22" s="70" t="s">
        <v>50</v>
      </c>
      <c r="D22" s="68" t="s">
        <v>51</v>
      </c>
      <c r="E22" s="68" t="s">
        <v>44</v>
      </c>
      <c r="F22" s="69"/>
      <c r="G22" s="175">
        <f>IF(AND(G13&lt;&gt;"",G20&lt;&gt;""),((1+G20)*(1+G13)-1),"")</f>
        <v>5.1533515216310333E-2</v>
      </c>
      <c r="H22" s="175">
        <f>IF(AND(H13&lt;&gt;"",H20&lt;&gt;""),((1+H20)*(1+H13)-1),"")</f>
        <v>3.9396467775181465E-2</v>
      </c>
      <c r="I22" s="175">
        <f>IF(AND(I13&lt;&gt;"",I20&lt;&gt;""),((1+I20)*(1+I13)-1),"")</f>
        <v>6.4176943983644819E-2</v>
      </c>
      <c r="J22" s="175">
        <f>IF(AND(J13&lt;&gt;"",J20&lt;&gt;""),((1+J20)*(1+J13)-1),"")</f>
        <v>0.10656927592296483</v>
      </c>
      <c r="K22" s="175">
        <f>IF(AND(K13&lt;&gt;"",K20&lt;&gt;""),((1+K20)*(1+K13)-1),"")</f>
        <v>6.8052733162140999E-2</v>
      </c>
      <c r="L22" s="175">
        <f>IF(AND(L14&lt;&gt;"",L21&lt;&gt;""),((1+L21)*(1+L14)-1),"")</f>
        <v>5.8303182979303259E-2</v>
      </c>
      <c r="M22" s="175">
        <f t="shared" ref="M22:P22" si="5">IF(AND(M14&lt;&gt;"",M21&lt;&gt;""),((1+M21)*(1+M14)-1),"")</f>
        <v>5.8884949218262372E-2</v>
      </c>
      <c r="N22" s="175">
        <f t="shared" si="5"/>
        <v>5.9728810123760745E-2</v>
      </c>
      <c r="O22" s="175">
        <f t="shared" si="5"/>
        <v>6.0599664996244806E-2</v>
      </c>
      <c r="P22" s="175">
        <f t="shared" si="5"/>
        <v>6.1605169006448524E-2</v>
      </c>
    </row>
    <row r="23" spans="1:16" ht="11.25" customHeight="1">
      <c r="A23" s="2"/>
      <c r="B23" s="2"/>
      <c r="C23" s="70"/>
      <c r="D23" s="68"/>
      <c r="E23" s="68"/>
      <c r="F23" s="69"/>
      <c r="G23" s="76"/>
      <c r="H23" s="16"/>
      <c r="I23" s="16"/>
      <c r="J23" s="16"/>
      <c r="K23" s="16"/>
      <c r="N23" s="2"/>
    </row>
    <row r="24" spans="1:16" s="53" customFormat="1" ht="12.75" customHeight="1">
      <c r="A24" s="8"/>
      <c r="B24" s="23" t="s">
        <v>14</v>
      </c>
      <c r="D24" s="54"/>
      <c r="E24" s="54"/>
    </row>
    <row r="25" spans="1:16" ht="18" hidden="1" customHeight="1">
      <c r="G25" s="75"/>
      <c r="H25" s="75"/>
      <c r="I25" s="75"/>
      <c r="J25" s="75"/>
      <c r="K25" s="75"/>
      <c r="L25" s="75"/>
      <c r="M25" s="75"/>
    </row>
    <row r="26" spans="1:16" ht="18" hidden="1" customHeight="1">
      <c r="G26" s="75"/>
      <c r="H26" s="75"/>
      <c r="I26" s="75"/>
      <c r="J26" s="75"/>
      <c r="K26" s="75"/>
      <c r="L26" s="75"/>
      <c r="M26" s="75"/>
    </row>
    <row r="27" spans="1:16" ht="18" hidden="1" customHeight="1">
      <c r="G27" s="75"/>
      <c r="H27" s="75"/>
      <c r="I27" s="75"/>
      <c r="J27" s="75"/>
      <c r="K27" s="75"/>
      <c r="L27" s="75"/>
      <c r="M27" s="75"/>
    </row>
    <row r="28" spans="1:16" ht="18" hidden="1" customHeight="1">
      <c r="G28" s="75"/>
      <c r="H28" s="75"/>
      <c r="I28" s="75"/>
      <c r="J28" s="75"/>
      <c r="K28" s="75"/>
      <c r="L28" s="75"/>
      <c r="M28" s="75"/>
    </row>
    <row r="107" spans="13:16" ht="18" customHeight="1"/>
    <row r="108" spans="13:16" ht="18" customHeight="1">
      <c r="M108" s="2"/>
      <c r="N108" s="2"/>
      <c r="O108" s="2"/>
      <c r="P108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workbookViewId="0"/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15.8554687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Essential Energy 2024-29 Draft Decision - Capital expenditure sharing scheme model</v>
      </c>
      <c r="D1" s="3"/>
      <c r="E1" s="3"/>
      <c r="F1" s="3"/>
      <c r="G1" s="3"/>
      <c r="H1" s="92"/>
      <c r="I1" s="93" t="s">
        <v>15</v>
      </c>
      <c r="J1" s="130" t="s">
        <v>16</v>
      </c>
      <c r="K1" s="134" t="s">
        <v>17</v>
      </c>
      <c r="L1" s="180" t="s">
        <v>106</v>
      </c>
      <c r="M1" s="185"/>
    </row>
    <row r="2" spans="2:14" ht="18" customHeight="1">
      <c r="B2" s="10" t="s">
        <v>52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53</v>
      </c>
      <c r="D4" s="6"/>
      <c r="E4" s="6"/>
      <c r="F4" s="6"/>
      <c r="G4" s="6"/>
    </row>
    <row r="5" spans="2:14" ht="10.5" customHeight="1">
      <c r="D5" s="58"/>
      <c r="E5" s="58"/>
      <c r="F5" s="58"/>
      <c r="G5" s="58"/>
    </row>
    <row r="6" spans="2:14" s="58" customFormat="1" ht="10.5" customHeight="1">
      <c r="D6" s="65" t="s">
        <v>40</v>
      </c>
      <c r="E6" s="65" t="s">
        <v>41</v>
      </c>
      <c r="F6" s="65" t="s">
        <v>54</v>
      </c>
      <c r="G6" s="55"/>
      <c r="H6" s="148" t="str">
        <f>IF('Input | General'!D14="Yes",'Input | General'!D13,"n/a")</f>
        <v>2019–20</v>
      </c>
      <c r="I6" s="148" t="str">
        <f>IF('Input | General'!E14="Yes",'Input | General'!E13,"n/a")</f>
        <v>2020–21</v>
      </c>
      <c r="J6" s="148" t="str">
        <f>IF('Input | General'!F14="Yes",'Input | General'!F13,"n/a")</f>
        <v>2021–22</v>
      </c>
      <c r="K6" s="148" t="str">
        <f>IF('Input | General'!G14="Yes",'Input | General'!G13,"n/a")</f>
        <v>2022–23</v>
      </c>
      <c r="L6" s="148" t="str">
        <f>IF('Input | General'!H14="Yes",'Input | General'!H13,"n/a")</f>
        <v>2023–24</v>
      </c>
    </row>
    <row r="7" spans="2:14" s="58" customFormat="1" ht="10.5" customHeight="1"/>
    <row r="8" spans="2:14" ht="10.5" customHeight="1">
      <c r="C8" s="70" t="s">
        <v>55</v>
      </c>
      <c r="D8" s="68" t="s">
        <v>46</v>
      </c>
      <c r="E8" s="68" t="s">
        <v>56</v>
      </c>
      <c r="F8" s="68" t="str">
        <f>'Input | Inflation and Disc Rate'!$F$7</f>
        <v>2018–19</v>
      </c>
      <c r="G8" s="58"/>
      <c r="H8" s="183">
        <v>630.24692282755154</v>
      </c>
      <c r="I8" s="183">
        <v>509.96298388665554</v>
      </c>
      <c r="J8" s="183">
        <v>524.20584639478625</v>
      </c>
      <c r="K8" s="183">
        <v>493.33568537240893</v>
      </c>
      <c r="L8" s="183">
        <v>477.441414679758</v>
      </c>
    </row>
    <row r="9" spans="2:14" ht="10.5" customHeight="1">
      <c r="C9" s="70" t="s">
        <v>57</v>
      </c>
      <c r="D9" s="68" t="s">
        <v>46</v>
      </c>
      <c r="E9" s="68" t="s">
        <v>56</v>
      </c>
      <c r="F9" s="68" t="str">
        <f>'Input | Inflation and Disc Rate'!$F$7</f>
        <v>2018–19</v>
      </c>
      <c r="G9" s="58"/>
      <c r="H9" s="183">
        <v>89.704585249134524</v>
      </c>
      <c r="I9" s="183">
        <v>89.490377460426515</v>
      </c>
      <c r="J9" s="183">
        <v>89.371265388607213</v>
      </c>
      <c r="K9" s="183">
        <v>89.308328182299618</v>
      </c>
      <c r="L9" s="183">
        <v>89.293564878038694</v>
      </c>
    </row>
    <row r="10" spans="2:14" ht="10.5" customHeight="1">
      <c r="C10" s="70" t="s">
        <v>58</v>
      </c>
      <c r="D10" s="68" t="s">
        <v>46</v>
      </c>
      <c r="E10" s="68" t="s">
        <v>56</v>
      </c>
      <c r="F10" s="68" t="str">
        <f>'Input | Inflation and Disc Rate'!$F$7</f>
        <v>2018–19</v>
      </c>
      <c r="G10" s="58"/>
      <c r="H10" s="183">
        <v>5.1453257363461296</v>
      </c>
      <c r="I10" s="183">
        <v>5.3057416200706413</v>
      </c>
      <c r="J10" s="183">
        <v>6.2792177262394295</v>
      </c>
      <c r="K10" s="183">
        <v>8.0216658212559651</v>
      </c>
      <c r="L10" s="183">
        <v>6.8243244903592952</v>
      </c>
    </row>
    <row r="11" spans="2:14" s="58" customFormat="1" ht="10.5" customHeight="1">
      <c r="H11" s="57"/>
      <c r="I11" s="57"/>
      <c r="J11" s="57"/>
      <c r="K11" s="57"/>
      <c r="L11" s="57"/>
    </row>
    <row r="12" spans="2:14" ht="10.5" customHeight="1">
      <c r="C12" s="67" t="s">
        <v>59</v>
      </c>
      <c r="D12" s="66" t="s">
        <v>51</v>
      </c>
      <c r="E12" s="149" t="s">
        <v>56</v>
      </c>
      <c r="F12" s="179" t="str">
        <f>'Input | Inflation and Disc Rate'!$F$7</f>
        <v>2018–19</v>
      </c>
      <c r="G12" s="58"/>
      <c r="H12" s="177">
        <f>IF(H6="", "", H8-H9-H10)</f>
        <v>535.39701184207092</v>
      </c>
      <c r="I12" s="177">
        <f t="shared" ref="I12:L12" si="0">IF(I6="", "", I8-I9-I10)</f>
        <v>415.1668648061584</v>
      </c>
      <c r="J12" s="177">
        <f t="shared" si="0"/>
        <v>428.55536327993963</v>
      </c>
      <c r="K12" s="177">
        <f t="shared" si="0"/>
        <v>396.00569136885338</v>
      </c>
      <c r="L12" s="177">
        <f t="shared" si="0"/>
        <v>381.32352531136002</v>
      </c>
    </row>
    <row r="13" spans="2:14" ht="10.5" customHeight="1">
      <c r="D13" s="58"/>
      <c r="E13" s="58"/>
      <c r="F13" s="58"/>
      <c r="G13" s="58"/>
      <c r="M13" s="62"/>
      <c r="N13" s="62"/>
    </row>
    <row r="14" spans="2:14" s="8" customFormat="1" ht="12.75" customHeight="1">
      <c r="B14" s="64" t="s">
        <v>60</v>
      </c>
      <c r="D14" s="15"/>
      <c r="E14" s="15"/>
      <c r="F14" s="15"/>
      <c r="G14" s="15"/>
    </row>
    <row r="15" spans="2:14" ht="10.5" customHeight="1">
      <c r="B15" s="63"/>
      <c r="C15" s="2"/>
    </row>
    <row r="16" spans="2:14" ht="10.5" customHeight="1">
      <c r="B16" s="63"/>
      <c r="C16" s="58"/>
      <c r="D16" s="65" t="s">
        <v>40</v>
      </c>
      <c r="E16" s="65" t="s">
        <v>41</v>
      </c>
      <c r="F16" s="65" t="s">
        <v>54</v>
      </c>
      <c r="G16" s="55"/>
      <c r="H16" s="148" t="str">
        <f>H6</f>
        <v>2019–20</v>
      </c>
      <c r="I16" s="148" t="str">
        <f t="shared" ref="I16:L16" si="1">I6</f>
        <v>2020–21</v>
      </c>
      <c r="J16" s="148" t="str">
        <f t="shared" si="1"/>
        <v>2021–22</v>
      </c>
      <c r="K16" s="148" t="str">
        <f t="shared" si="1"/>
        <v>2022–23</v>
      </c>
      <c r="L16" s="148" t="str">
        <f t="shared" si="1"/>
        <v>2023–24</v>
      </c>
      <c r="M16" s="58"/>
      <c r="N16" s="58"/>
    </row>
    <row r="17" spans="2:14" ht="10.5" customHeight="1">
      <c r="B17" s="63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2:14" ht="10.5" customHeight="1">
      <c r="B18" s="63"/>
      <c r="C18" s="70" t="s">
        <v>61</v>
      </c>
      <c r="D18" s="68" t="s">
        <v>46</v>
      </c>
      <c r="E18" s="68" t="s">
        <v>56</v>
      </c>
      <c r="F18" s="68" t="s">
        <v>62</v>
      </c>
      <c r="G18" s="58"/>
      <c r="H18" s="183">
        <v>550.80133124610597</v>
      </c>
      <c r="I18" s="183">
        <v>501.0999856821831</v>
      </c>
      <c r="J18" s="183">
        <v>574.79164747163941</v>
      </c>
      <c r="K18" s="183">
        <v>606.04950671998813</v>
      </c>
      <c r="L18" s="183">
        <v>614.91044930476505</v>
      </c>
    </row>
    <row r="19" spans="2:14" ht="10.5" customHeight="1">
      <c r="B19" s="63"/>
      <c r="C19" s="70" t="s">
        <v>57</v>
      </c>
      <c r="D19" s="68" t="s">
        <v>46</v>
      </c>
      <c r="E19" s="68" t="s">
        <v>56</v>
      </c>
      <c r="F19" s="68" t="s">
        <v>62</v>
      </c>
      <c r="G19" s="120"/>
      <c r="H19" s="184">
        <v>79.501779899999988</v>
      </c>
      <c r="I19" s="183">
        <v>92.853393999999994</v>
      </c>
      <c r="J19" s="183">
        <v>141.794184</v>
      </c>
      <c r="K19" s="183">
        <v>127.093643210286</v>
      </c>
      <c r="L19" s="183">
        <v>116.28600775884451</v>
      </c>
    </row>
    <row r="20" spans="2:14" ht="10.5" customHeight="1">
      <c r="B20" s="63"/>
      <c r="C20" s="119" t="s">
        <v>58</v>
      </c>
      <c r="D20" s="68" t="s">
        <v>46</v>
      </c>
      <c r="E20" s="68" t="s">
        <v>56</v>
      </c>
      <c r="F20" s="68" t="s">
        <v>62</v>
      </c>
      <c r="G20" s="120"/>
      <c r="H20" s="184">
        <v>2.9546770000000002</v>
      </c>
      <c r="I20" s="183">
        <v>3.7272509999999999</v>
      </c>
      <c r="J20" s="183">
        <v>2.394703986662396</v>
      </c>
      <c r="K20" s="183">
        <v>2.863129187862961</v>
      </c>
      <c r="L20" s="183">
        <v>2.5673535902886098</v>
      </c>
    </row>
    <row r="21" spans="2:14" ht="10.5" customHeight="1">
      <c r="B21" s="63"/>
      <c r="C21" s="128" t="s">
        <v>63</v>
      </c>
      <c r="D21" s="68" t="s">
        <v>46</v>
      </c>
      <c r="E21" s="68" t="s">
        <v>56</v>
      </c>
      <c r="F21" s="68" t="s">
        <v>62</v>
      </c>
      <c r="G21" s="58"/>
      <c r="H21" s="133">
        <v>0</v>
      </c>
      <c r="I21" s="132">
        <v>0</v>
      </c>
      <c r="J21" s="132">
        <v>0</v>
      </c>
      <c r="K21" s="132">
        <v>0</v>
      </c>
      <c r="L21" s="132">
        <v>0</v>
      </c>
    </row>
    <row r="22" spans="2:14" ht="10.5" customHeight="1">
      <c r="B22" s="63"/>
      <c r="C22" s="58"/>
      <c r="D22" s="58"/>
      <c r="E22" s="58"/>
      <c r="F22" s="58"/>
      <c r="G22" s="58"/>
      <c r="H22" s="57"/>
      <c r="I22" s="57"/>
      <c r="J22" s="57"/>
      <c r="K22" s="57"/>
      <c r="L22" s="57"/>
      <c r="M22" s="58"/>
      <c r="N22" s="58"/>
    </row>
    <row r="23" spans="2:14" ht="10.5" customHeight="1">
      <c r="B23" s="63"/>
      <c r="C23" s="67" t="s">
        <v>64</v>
      </c>
      <c r="D23" s="66" t="s">
        <v>51</v>
      </c>
      <c r="E23" s="150" t="s">
        <v>56</v>
      </c>
      <c r="F23" s="150" t="s">
        <v>62</v>
      </c>
      <c r="G23" s="58"/>
      <c r="H23" s="177">
        <f>IF(H16="", "", H18-H19-H20-H21)</f>
        <v>468.344874346106</v>
      </c>
      <c r="I23" s="177">
        <f t="shared" ref="I23:L23" si="2">IF(I16="", "", I18-I19-I20-I21)</f>
        <v>404.5193406821831</v>
      </c>
      <c r="J23" s="177">
        <f t="shared" si="2"/>
        <v>430.60275948497701</v>
      </c>
      <c r="K23" s="177">
        <f t="shared" si="2"/>
        <v>476.09273432183915</v>
      </c>
      <c r="L23" s="177">
        <f t="shared" si="2"/>
        <v>496.05708795563191</v>
      </c>
    </row>
    <row r="24" spans="2:14" ht="10.5" customHeight="1">
      <c r="B24" s="63"/>
      <c r="C24" s="2"/>
      <c r="M24" s="62"/>
      <c r="N24" s="62"/>
    </row>
    <row r="25" spans="2:14" s="8" customFormat="1" ht="12.75" customHeight="1">
      <c r="B25" s="64" t="s">
        <v>65</v>
      </c>
      <c r="D25" s="15"/>
      <c r="E25" s="15"/>
      <c r="F25" s="15"/>
      <c r="G25" s="15"/>
    </row>
    <row r="26" spans="2:14" ht="10.5" customHeight="1">
      <c r="D26" s="58"/>
      <c r="E26" s="58"/>
      <c r="F26" s="58"/>
      <c r="G26" s="58"/>
    </row>
    <row r="27" spans="2:14" ht="10.5" customHeight="1">
      <c r="D27" s="58"/>
      <c r="E27" s="58"/>
      <c r="F27" s="58"/>
      <c r="G27" s="58"/>
      <c r="H27" s="148" t="str">
        <f>'Input | General'!D18</f>
        <v>2024-25</v>
      </c>
      <c r="I27" s="148" t="str">
        <f>'Input | General'!E18</f>
        <v>2025–26</v>
      </c>
      <c r="J27" s="148" t="str">
        <f>'Input | General'!F18</f>
        <v>2026–27</v>
      </c>
      <c r="K27" s="148" t="str">
        <f>'Input | General'!G18</f>
        <v>2027–28</v>
      </c>
      <c r="L27" s="148" t="str">
        <f>'Input | General'!H18</f>
        <v>2028–29</v>
      </c>
    </row>
    <row r="28" spans="2:14" s="14" customFormat="1" ht="10.5" customHeight="1">
      <c r="C28" s="13"/>
      <c r="D28" s="58"/>
      <c r="E28" s="58"/>
      <c r="F28" s="58"/>
      <c r="G28" s="58"/>
    </row>
    <row r="29" spans="2:14" ht="11.25" customHeight="1">
      <c r="C29" s="74" t="s">
        <v>66</v>
      </c>
      <c r="D29" s="56" t="s">
        <v>43</v>
      </c>
      <c r="E29" s="68" t="s">
        <v>56</v>
      </c>
      <c r="F29" s="68" t="s">
        <v>67</v>
      </c>
      <c r="G29" s="58"/>
      <c r="H29" s="132">
        <v>0</v>
      </c>
      <c r="I29" s="132">
        <v>20.84</v>
      </c>
      <c r="J29" s="132">
        <v>0</v>
      </c>
      <c r="K29" s="132">
        <v>0</v>
      </c>
      <c r="L29" s="132">
        <v>0</v>
      </c>
    </row>
    <row r="30" spans="2:14" ht="11.25" customHeight="1">
      <c r="C30" s="74" t="s">
        <v>66</v>
      </c>
      <c r="D30" s="56" t="s">
        <v>51</v>
      </c>
      <c r="E30" s="68" t="s">
        <v>56</v>
      </c>
      <c r="F30" s="68" t="s">
        <v>68</v>
      </c>
      <c r="G30" s="58"/>
      <c r="H30" s="176">
        <f>IF(H29&lt;&gt;"",H29/('Input | Inflation and Disc Rate'!K10*(1+'Input | Inflation and Disc Rate'!L9)^0.5),"")</f>
        <v>0</v>
      </c>
      <c r="I30" s="176">
        <f>IF(I29&lt;&gt;"",I29/('Input | Inflation and Disc Rate'!L10*(1+'Input | Inflation and Disc Rate'!M9)^0.5),"")</f>
        <v>16.816703605232565</v>
      </c>
      <c r="J30" s="176">
        <f>IF(J29&lt;&gt;"",J29/('Input | Inflation and Disc Rate'!M10*(1+'Input | Inflation and Disc Rate'!N9)^0.5),"")</f>
        <v>0</v>
      </c>
      <c r="K30" s="176">
        <f>IF(K29&lt;&gt;"",K29/('Input | Inflation and Disc Rate'!N10*(1+'Input | Inflation and Disc Rate'!O9)^0.5),"")</f>
        <v>0</v>
      </c>
      <c r="L30" s="176">
        <f>IF(L29&lt;&gt;"",L29/('Input | Inflation and Disc Rate'!O10*(1+'Input | Inflation and Disc Rate'!P9)^0.5),"")</f>
        <v>0</v>
      </c>
    </row>
    <row r="31" spans="2:14" ht="11.25" customHeight="1">
      <c r="C31" s="74" t="s">
        <v>66</v>
      </c>
      <c r="D31" s="56" t="s">
        <v>46</v>
      </c>
      <c r="E31" s="68" t="s">
        <v>56</v>
      </c>
      <c r="F31" s="68" t="s">
        <v>67</v>
      </c>
      <c r="G31" s="58"/>
      <c r="H31" s="176">
        <f>IF(H29&lt;&gt;"",H30*'Input | Inflation and Disc Rate'!K15*(1+'Input | Inflation and Disc Rate'!L14)^0.5,"")</f>
        <v>0</v>
      </c>
      <c r="I31" s="176">
        <f>IF(I29&lt;&gt;"",I30*'Input | Inflation and Disc Rate'!L15*(1+'Input | Inflation and Disc Rate'!M14)^0.5,"")</f>
        <v>20.917124621273562</v>
      </c>
      <c r="J31" s="176">
        <f>IF(J29&lt;&gt;"",J30*'Input | Inflation and Disc Rate'!M15*(1+'Input | Inflation and Disc Rate'!N14)^0.5,"")</f>
        <v>0</v>
      </c>
      <c r="K31" s="176">
        <f>IF(K29&lt;&gt;"",K30*'Input | Inflation and Disc Rate'!N15*(1+'Input | Inflation and Disc Rate'!O14)^0.5,"")</f>
        <v>0</v>
      </c>
      <c r="L31" s="176">
        <f>IF(L29&lt;&gt;"",L30*'Input | Inflation and Disc Rate'!O15*(1+'Input | Inflation and Disc Rate'!P14)^0.5,"")</f>
        <v>0</v>
      </c>
    </row>
    <row r="32" spans="2:14" ht="10.5" customHeight="1">
      <c r="D32" s="58"/>
      <c r="E32" s="58"/>
      <c r="F32" s="58"/>
      <c r="G32" s="58"/>
      <c r="M32" s="62"/>
      <c r="N32" s="62"/>
    </row>
    <row r="33" spans="1:7" s="53" customFormat="1" ht="12.75" customHeight="1">
      <c r="A33" s="8"/>
      <c r="B33" s="23" t="s">
        <v>14</v>
      </c>
      <c r="D33" s="54"/>
      <c r="E33" s="54"/>
      <c r="F33" s="54"/>
    </row>
    <row r="34" spans="1:7" ht="10.5" hidden="1" customHeight="1"/>
    <row r="36" spans="1:7" ht="18" hidden="1" customHeight="1">
      <c r="C36" s="2"/>
      <c r="D36" s="2"/>
      <c r="E36" s="2"/>
      <c r="F36" s="2"/>
      <c r="G36" s="2"/>
    </row>
    <row r="39" spans="1:7" s="14" customFormat="1" ht="18" hidden="1" customHeight="1"/>
    <row r="44" spans="1:7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Essential Energy 2024-29 Draft Decision - Capital expenditure sharing scheme model</v>
      </c>
      <c r="C1" s="2"/>
      <c r="J1" s="108"/>
      <c r="K1" s="93" t="s">
        <v>15</v>
      </c>
      <c r="L1" s="130" t="s">
        <v>16</v>
      </c>
      <c r="M1" s="134" t="s">
        <v>17</v>
      </c>
      <c r="N1"/>
      <c r="Q1" s="94"/>
      <c r="R1" s="69"/>
      <c r="S1" s="69"/>
      <c r="T1" s="69"/>
      <c r="U1" s="69"/>
      <c r="V1" s="69"/>
      <c r="W1" s="69"/>
    </row>
    <row r="2" spans="2:23" ht="18" customHeight="1">
      <c r="B2" s="10" t="s">
        <v>69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70</v>
      </c>
      <c r="J4" s="18"/>
      <c r="K4" s="18"/>
    </row>
    <row r="5" spans="2:23" ht="11.25" customHeight="1">
      <c r="C5" s="82"/>
      <c r="D5" s="82"/>
      <c r="E5" s="82"/>
      <c r="F5" s="82"/>
      <c r="G5" s="82"/>
      <c r="H5" s="82"/>
      <c r="I5" s="69"/>
      <c r="J5" s="69"/>
      <c r="K5" s="69"/>
      <c r="L5" s="69"/>
      <c r="M5" s="69"/>
      <c r="N5" s="69"/>
      <c r="O5" s="69"/>
    </row>
    <row r="6" spans="2:23" ht="11.25" customHeight="1">
      <c r="C6" s="104" t="s">
        <v>71</v>
      </c>
      <c r="D6" s="105"/>
      <c r="E6" s="106"/>
      <c r="F6" s="106"/>
      <c r="G6" s="106"/>
      <c r="H6" s="106"/>
      <c r="I6" s="84"/>
    </row>
    <row r="7" spans="2:23" ht="11.25" customHeight="1">
      <c r="C7" s="103" t="s">
        <v>72</v>
      </c>
      <c r="D7" s="148" t="str">
        <f>IF('Input | General'!D14="Yes",'Input | General'!D13,"n/a")</f>
        <v>2019–20</v>
      </c>
      <c r="E7" s="148" t="str">
        <f>IF('Input | General'!E14="Yes",'Input | General'!E13,"n/a")</f>
        <v>2020–21</v>
      </c>
      <c r="F7" s="148" t="str">
        <f>IF('Input | General'!F14="Yes",'Input | General'!F13,"n/a")</f>
        <v>2021–22</v>
      </c>
      <c r="G7" s="148" t="str">
        <f>IF('Input | General'!G14="Yes",'Input | General'!G13,"n/a")</f>
        <v>2022–23</v>
      </c>
      <c r="H7" s="151" t="str">
        <f>IF('Input | General'!H14="Yes",'Input | General'!H13,"n/a")</f>
        <v>2023–24</v>
      </c>
      <c r="I7" s="84"/>
    </row>
    <row r="8" spans="2:23" ht="11.25" customHeight="1">
      <c r="C8" s="101" t="s">
        <v>73</v>
      </c>
      <c r="D8" s="135">
        <f>'Input | Inflation and Disc Rate'!G20</f>
        <v>3.2529897471437107E-2</v>
      </c>
      <c r="E8" s="136">
        <f>'Input | Inflation and Disc Rate'!H20</f>
        <v>3.0527897231024559E-2</v>
      </c>
      <c r="F8" s="136">
        <f>'Input | Inflation and Disc Rate'!I20</f>
        <v>2.820723689104012E-2</v>
      </c>
      <c r="G8" s="136">
        <f>'Input | Inflation and Disc Rate'!J20</f>
        <v>2.6199183252718906E-2</v>
      </c>
      <c r="H8" s="137">
        <f>'Input | Inflation and Disc Rate'!K20</f>
        <v>2.5987255679290257E-2</v>
      </c>
      <c r="I8" s="84"/>
      <c r="J8" s="69"/>
      <c r="K8" s="69"/>
    </row>
    <row r="9" spans="2:23" ht="11.25" customHeight="1">
      <c r="C9" s="123" t="s">
        <v>74</v>
      </c>
      <c r="D9" s="136">
        <f>'Input | Inflation and Disc Rate'!G22</f>
        <v>5.1533515216310333E-2</v>
      </c>
      <c r="E9" s="136">
        <f>'Input | Inflation and Disc Rate'!H22</f>
        <v>3.9396467775181465E-2</v>
      </c>
      <c r="F9" s="136">
        <f>'Input | Inflation and Disc Rate'!I22</f>
        <v>6.4176943983644819E-2</v>
      </c>
      <c r="G9" s="136">
        <f>'Input | Inflation and Disc Rate'!J22</f>
        <v>0.10656927592296483</v>
      </c>
      <c r="H9" s="137">
        <f>'Input | Inflation and Disc Rate'!K22</f>
        <v>6.8052733162140999E-2</v>
      </c>
      <c r="I9" s="84"/>
      <c r="J9" s="69"/>
      <c r="K9" s="69"/>
    </row>
    <row r="10" spans="2:23" ht="11.25" customHeight="1">
      <c r="C10" s="99" t="s">
        <v>75</v>
      </c>
      <c r="D10" s="138">
        <f>'Input | Reported Capex'!H$12*'Input | Inflation and Disc Rate'!G$15*(1+'Input | Inflation and Disc Rate'!G$20)^0.5</f>
        <v>554.04845031342973</v>
      </c>
      <c r="E10" s="139">
        <f>'Input | Reported Capex'!I$12*'Input | Inflation and Disc Rate'!H$15*(1+'Input | Inflation and Disc Rate'!H$20)^0.5</f>
        <v>432.90692012597344</v>
      </c>
      <c r="F10" s="139">
        <f>'Input | Reported Capex'!J$12*'Input | Inflation and Disc Rate'!I$15*(1+'Input | Inflation and Disc Rate'!I$20)^0.5</f>
        <v>461.97919648071911</v>
      </c>
      <c r="G10" s="139">
        <f>'Input | Reported Capex'!K$12*'Input | Inflation and Disc Rate'!J$15*(1+'Input | Inflation and Disc Rate'!J$20)^0.5</f>
        <v>459.87453269374419</v>
      </c>
      <c r="H10" s="140">
        <f>'Input | Reported Capex'!L$12*'Input | Inflation and Disc Rate'!K$15*(1+'Input | Inflation and Disc Rate'!K$20)^0.5</f>
        <v>460.93258554573737</v>
      </c>
      <c r="I10" s="84"/>
      <c r="J10" s="69"/>
      <c r="K10" s="69"/>
      <c r="N10" s="117"/>
    </row>
    <row r="11" spans="2:23" ht="11.25" customHeight="1">
      <c r="C11" s="99" t="s">
        <v>76</v>
      </c>
      <c r="D11" s="141">
        <f>'Input | Reported Capex'!H23*(1+D$9)^0.5</f>
        <v>480.26101156984203</v>
      </c>
      <c r="E11" s="139">
        <f>'Input | Reported Capex'!I23*(1+E$9)^0.5</f>
        <v>412.41068527430025</v>
      </c>
      <c r="F11" s="139">
        <f>'Input | Reported Capex'!J23*(1+F$9)^0.5</f>
        <v>444.20529526382319</v>
      </c>
      <c r="G11" s="139">
        <f>'Input | Reported Capex'!K23*(1+G$9)^0.5</f>
        <v>500.81907023928312</v>
      </c>
      <c r="H11" s="140">
        <f>'Input | Reported Capex'!L23*(1+H$9)^0.5</f>
        <v>512.65831686017259</v>
      </c>
      <c r="I11" s="84"/>
      <c r="J11" s="69"/>
      <c r="K11" s="69"/>
    </row>
    <row r="12" spans="2:23" s="14" customFormat="1" ht="11.25" customHeight="1">
      <c r="C12" s="99" t="s">
        <v>77</v>
      </c>
      <c r="D12" s="77">
        <f>(D10-D11)</f>
        <v>73.7874387435877</v>
      </c>
      <c r="E12" s="121">
        <f>(E10-E11)</f>
        <v>20.496234851673194</v>
      </c>
      <c r="F12" s="121">
        <f t="shared" ref="F12:H12" si="0">(F10-F11)</f>
        <v>17.773901216895922</v>
      </c>
      <c r="G12" s="121">
        <f t="shared" si="0"/>
        <v>-40.944537545538935</v>
      </c>
      <c r="H12" s="125">
        <f t="shared" si="0"/>
        <v>-51.725731314435222</v>
      </c>
      <c r="I12" s="84"/>
      <c r="J12" s="69"/>
      <c r="K12" s="69"/>
    </row>
    <row r="13" spans="2:23" ht="11.25" customHeight="1">
      <c r="C13" s="99" t="s">
        <v>78</v>
      </c>
      <c r="D13" s="77"/>
      <c r="E13" s="121">
        <f>$D$12*$E$8</f>
        <v>2.2525753469047651</v>
      </c>
      <c r="F13" s="121">
        <f>$D$12*$F$8*(1+'Input | Inflation and Disc Rate'!H13)</f>
        <v>2.0992514661531243</v>
      </c>
      <c r="G13" s="121">
        <f>$D$12*$G$8*(1+'Input | Inflation and Disc Rate'!H13)*(1+'Input | Inflation and Disc Rate'!I13)</f>
        <v>2.0180171888575953</v>
      </c>
      <c r="H13" s="125">
        <f>$D$12*$H$8*(1+'Input | Inflation and Disc Rate'!H13)*(1+'Input | Inflation and Disc Rate'!I13)*(1+'Input | Inflation and Disc Rate'!J13)</f>
        <v>2.1584623165291328</v>
      </c>
      <c r="I13" s="84"/>
      <c r="J13" s="69"/>
      <c r="K13" s="69"/>
      <c r="L13" s="83"/>
      <c r="M13" s="83"/>
      <c r="N13" s="83"/>
      <c r="O13" s="83"/>
    </row>
    <row r="14" spans="2:23" ht="11.25" customHeight="1">
      <c r="C14" s="99" t="s">
        <v>79</v>
      </c>
      <c r="D14" s="77"/>
      <c r="E14" s="122"/>
      <c r="F14" s="121">
        <f>$E$12*F$8</f>
        <v>0.5781421518355383</v>
      </c>
      <c r="G14" s="121">
        <f>$E$12*G$8*(1+'Input | Inflation and Disc Rate'!I13)</f>
        <v>0.55576991076024451</v>
      </c>
      <c r="H14" s="125">
        <f>$E$12*H$8*(1+'Input | Inflation and Disc Rate'!I13)*(1+'Input | Inflation and Disc Rate'!J13)</f>
        <v>0.59444905408157012</v>
      </c>
      <c r="I14" s="84"/>
      <c r="J14" s="69"/>
      <c r="K14" s="69"/>
      <c r="L14" s="83"/>
      <c r="M14" s="83"/>
      <c r="N14" s="84"/>
      <c r="O14" s="84"/>
    </row>
    <row r="15" spans="2:23" ht="11.25" customHeight="1">
      <c r="C15" s="99" t="s">
        <v>80</v>
      </c>
      <c r="D15" s="77"/>
      <c r="E15" s="121"/>
      <c r="F15" s="121"/>
      <c r="G15" s="121">
        <f>$F$12*G$8</f>
        <v>0.46566169509717981</v>
      </c>
      <c r="H15" s="125">
        <f>$F$12*$H$8*(1+'Input | Inflation and Disc Rate'!J13)</f>
        <v>0.49806970261107564</v>
      </c>
      <c r="I15" s="84"/>
      <c r="J15" s="69"/>
      <c r="K15" s="69"/>
      <c r="L15" s="83"/>
      <c r="M15" s="83"/>
      <c r="N15" s="83"/>
      <c r="O15" s="83"/>
    </row>
    <row r="16" spans="2:23" ht="11.25" customHeight="1">
      <c r="C16" s="99" t="s">
        <v>81</v>
      </c>
      <c r="D16" s="77"/>
      <c r="E16" s="121"/>
      <c r="F16" s="121"/>
      <c r="G16" s="121"/>
      <c r="H16" s="125">
        <f>$G$12*$H$8</f>
        <v>-1.0640361658662199</v>
      </c>
      <c r="I16" s="84"/>
      <c r="J16" s="69"/>
      <c r="K16" s="69"/>
      <c r="L16" s="83"/>
      <c r="M16" s="83"/>
      <c r="N16" s="83"/>
      <c r="O16" s="83"/>
    </row>
    <row r="17" spans="3:15" ht="11.25" customHeight="1">
      <c r="C17" s="99" t="s">
        <v>82</v>
      </c>
      <c r="D17" s="77"/>
      <c r="E17" s="121"/>
      <c r="F17" s="121"/>
      <c r="G17" s="121"/>
      <c r="H17" s="125"/>
      <c r="I17" s="84"/>
      <c r="J17" s="69"/>
      <c r="K17" s="69"/>
      <c r="L17" s="83"/>
      <c r="M17" s="83"/>
      <c r="N17" s="83"/>
      <c r="O17" s="83"/>
    </row>
    <row r="18" spans="3:15" s="14" customFormat="1" ht="11.25" customHeight="1">
      <c r="C18" s="100" t="s">
        <v>83</v>
      </c>
      <c r="D18" s="78">
        <f>SUM(D13:D17)</f>
        <v>0</v>
      </c>
      <c r="E18" s="79">
        <f>SUM(E13:E17)</f>
        <v>2.2525753469047651</v>
      </c>
      <c r="F18" s="79">
        <f t="shared" ref="F18:H18" si="1">SUM(F13:F17)</f>
        <v>2.6773936179886624</v>
      </c>
      <c r="G18" s="79">
        <f t="shared" si="1"/>
        <v>3.0394487947150193</v>
      </c>
      <c r="H18" s="80">
        <f t="shared" si="1"/>
        <v>2.1869449073555591</v>
      </c>
      <c r="I18" s="84"/>
      <c r="J18" s="69"/>
      <c r="K18" s="69"/>
      <c r="L18" s="83"/>
      <c r="M18" s="83"/>
      <c r="N18" s="83"/>
      <c r="O18" s="83"/>
    </row>
    <row r="19" spans="3:15" ht="11.25" customHeight="1">
      <c r="C19" s="101" t="s">
        <v>84</v>
      </c>
      <c r="D19" s="78">
        <f>E19*(1+E$9)</f>
        <v>1.3072732831690692</v>
      </c>
      <c r="E19" s="79">
        <f>F19*(1+F$9)</f>
        <v>1.2577234228698848</v>
      </c>
      <c r="F19" s="79">
        <f>G19*(1+G$9)</f>
        <v>1.181874339582774</v>
      </c>
      <c r="G19" s="79">
        <f>H19*(1+H$9)</f>
        <v>1.068052733162141</v>
      </c>
      <c r="H19" s="126">
        <v>1</v>
      </c>
      <c r="I19" s="84"/>
      <c r="J19" s="69"/>
      <c r="K19" s="69"/>
      <c r="L19" s="84"/>
      <c r="M19" s="84"/>
      <c r="N19" s="84"/>
      <c r="O19" s="84"/>
    </row>
    <row r="20" spans="3:15" s="14" customFormat="1" ht="11.25" customHeight="1">
      <c r="C20" s="99" t="s">
        <v>85</v>
      </c>
      <c r="D20" s="77">
        <f>D12*D19</f>
        <v>96.460347302966468</v>
      </c>
      <c r="E20" s="121">
        <f>E12*E19</f>
        <v>25.778594653591433</v>
      </c>
      <c r="F20" s="121">
        <f t="shared" ref="F20:H20" si="2">F12*F19</f>
        <v>21.006517762528333</v>
      </c>
      <c r="G20" s="121">
        <f t="shared" si="2"/>
        <v>-43.730925233572762</v>
      </c>
      <c r="H20" s="125">
        <f t="shared" si="2"/>
        <v>-51.725731314435222</v>
      </c>
      <c r="I20" s="84"/>
      <c r="J20" s="69"/>
      <c r="K20" s="69"/>
      <c r="L20" s="84"/>
      <c r="M20" s="84"/>
      <c r="N20" s="84"/>
      <c r="O20" s="84"/>
    </row>
    <row r="21" spans="3:15" s="14" customFormat="1" ht="11.25" customHeight="1">
      <c r="C21" s="100" t="s">
        <v>86</v>
      </c>
      <c r="D21" s="78">
        <f>D18*D19</f>
        <v>0</v>
      </c>
      <c r="E21" s="79">
        <f>E18*E19</f>
        <v>2.8331167755813795</v>
      </c>
      <c r="F21" s="79">
        <f t="shared" ref="F21:H21" si="3">F18*F19</f>
        <v>3.1643428140634842</v>
      </c>
      <c r="G21" s="79">
        <f t="shared" si="3"/>
        <v>3.2462915925017515</v>
      </c>
      <c r="H21" s="80">
        <f t="shared" si="3"/>
        <v>2.1869449073555591</v>
      </c>
      <c r="I21" s="84"/>
      <c r="J21" s="69"/>
      <c r="K21" s="69"/>
      <c r="L21" s="84"/>
      <c r="M21" s="84"/>
      <c r="N21" s="84"/>
      <c r="O21" s="84"/>
    </row>
    <row r="22" spans="3:15" s="69" customFormat="1" ht="11.25" customHeight="1"/>
    <row r="23" spans="3:15" ht="11.25" customHeight="1">
      <c r="C23" s="104" t="s">
        <v>87</v>
      </c>
      <c r="D23" s="105"/>
      <c r="E23" s="106"/>
      <c r="F23" s="106"/>
      <c r="G23" s="106"/>
      <c r="H23" s="106"/>
      <c r="I23" s="84"/>
      <c r="J23" s="69"/>
      <c r="K23" s="69"/>
      <c r="L23" s="84"/>
      <c r="M23" s="84"/>
      <c r="N23" s="84"/>
      <c r="O23" s="84"/>
    </row>
    <row r="24" spans="3:15" ht="11.25" customHeight="1">
      <c r="C24" s="98" t="s">
        <v>72</v>
      </c>
      <c r="D24" s="152" t="str">
        <f>'Input | General'!$D$18</f>
        <v>2024-25</v>
      </c>
      <c r="E24" s="152" t="str">
        <f>'Input | General'!$E$18</f>
        <v>2025–26</v>
      </c>
      <c r="F24" s="152" t="str">
        <f>'Input | General'!$F$18</f>
        <v>2026–27</v>
      </c>
      <c r="G24" s="152" t="str">
        <f>'Input | General'!$G$18</f>
        <v>2027–28</v>
      </c>
      <c r="H24" s="153" t="str">
        <f>'Input | General'!$H$18</f>
        <v>2028–29</v>
      </c>
      <c r="I24" s="84"/>
      <c r="J24" s="69"/>
      <c r="K24" s="69"/>
      <c r="L24" s="84"/>
      <c r="M24" s="84"/>
      <c r="N24" s="84"/>
      <c r="O24" s="84"/>
    </row>
    <row r="25" spans="3:15" ht="11.25" customHeight="1">
      <c r="C25" s="102" t="s">
        <v>88</v>
      </c>
      <c r="D25" s="142">
        <f>'Input | Inflation and Disc Rate'!L$22</f>
        <v>5.8303182979303259E-2</v>
      </c>
      <c r="E25" s="142">
        <f>'Input | Inflation and Disc Rate'!M$22</f>
        <v>5.8884949218262372E-2</v>
      </c>
      <c r="F25" s="142">
        <f>'Input | Inflation and Disc Rate'!N$22</f>
        <v>5.9728810123760745E-2</v>
      </c>
      <c r="G25" s="142">
        <f>'Input | Inflation and Disc Rate'!O$22</f>
        <v>6.0599664996244806E-2</v>
      </c>
      <c r="H25" s="143">
        <f>'Input | Inflation and Disc Rate'!P$22</f>
        <v>6.1605169006448524E-2</v>
      </c>
      <c r="I25" s="84"/>
      <c r="J25" s="69"/>
      <c r="K25" s="69"/>
      <c r="L25" s="84"/>
      <c r="M25" s="84"/>
      <c r="N25" s="84"/>
      <c r="O25" s="84"/>
    </row>
    <row r="26" spans="3:15" ht="11.25" customHeight="1">
      <c r="C26" s="103" t="s">
        <v>89</v>
      </c>
      <c r="D26" s="139">
        <f>'Input | Reported Capex'!H31</f>
        <v>0</v>
      </c>
      <c r="E26" s="139">
        <f>'Input | Reported Capex'!I31</f>
        <v>20.917124621273562</v>
      </c>
      <c r="F26" s="139">
        <f>'Input | Reported Capex'!J31</f>
        <v>0</v>
      </c>
      <c r="G26" s="139">
        <f>'Input | Reported Capex'!K31</f>
        <v>0</v>
      </c>
      <c r="H26" s="140">
        <f>'Input | Reported Capex'!L31</f>
        <v>0</v>
      </c>
      <c r="I26" s="84"/>
      <c r="J26" s="69"/>
      <c r="K26" s="69"/>
      <c r="L26" s="84"/>
      <c r="M26" s="84"/>
      <c r="N26" s="84"/>
      <c r="O26" s="84"/>
    </row>
    <row r="27" spans="3:15" ht="11.25" customHeight="1">
      <c r="C27" s="103" t="s">
        <v>90</v>
      </c>
      <c r="D27" s="109">
        <f>1/(1+D25)^(0.5)</f>
        <v>0.97206419994801696</v>
      </c>
      <c r="E27" s="109">
        <f>1/((1+E25)^(0.5)*(1+D25))</f>
        <v>0.91825966891011135</v>
      </c>
      <c r="F27" s="109">
        <f>1/((1+F25)^(0.5)*(1+E25)*(1+D25))</f>
        <v>0.86684959700812114</v>
      </c>
      <c r="G27" s="109">
        <f>1/((1+G25)^(0.5)*(1+F25)*(1+E25)*(1+D25))</f>
        <v>0.81765601914374597</v>
      </c>
      <c r="H27" s="110">
        <f>1/((1+H25)^(0.5)*(1+G25)*(1+F25)*(1+E25)*(1+D25))</f>
        <v>0.77057228201533845</v>
      </c>
      <c r="I27" s="84"/>
      <c r="J27" s="69"/>
      <c r="K27" s="69"/>
      <c r="L27" s="84"/>
      <c r="M27" s="84"/>
      <c r="N27" s="84"/>
      <c r="O27" s="84"/>
    </row>
    <row r="28" spans="3:15" ht="11.25" customHeight="1">
      <c r="C28" s="98" t="s">
        <v>91</v>
      </c>
      <c r="D28" s="79">
        <f>D26*D27</f>
        <v>0</v>
      </c>
      <c r="E28" s="79">
        <f t="shared" ref="E28:G28" si="4">E26*E27</f>
        <v>19.207351929282201</v>
      </c>
      <c r="F28" s="79">
        <f t="shared" si="4"/>
        <v>0</v>
      </c>
      <c r="G28" s="79">
        <f t="shared" si="4"/>
        <v>0</v>
      </c>
      <c r="H28" s="80">
        <f>H26*H27</f>
        <v>0</v>
      </c>
      <c r="I28" s="84"/>
      <c r="J28" s="69"/>
      <c r="K28" s="69"/>
      <c r="L28" s="84"/>
      <c r="M28" s="84"/>
      <c r="N28" s="84"/>
      <c r="O28" s="84"/>
    </row>
    <row r="29" spans="3:15" ht="11.25" customHeight="1">
      <c r="C29" s="83"/>
      <c r="D29" s="85"/>
      <c r="E29" s="85"/>
      <c r="F29" s="85"/>
      <c r="G29" s="85"/>
      <c r="H29" s="85"/>
      <c r="I29" s="84"/>
      <c r="J29" s="69"/>
      <c r="K29" s="69"/>
      <c r="L29" s="84"/>
      <c r="M29" s="84"/>
      <c r="N29" s="84"/>
      <c r="O29" s="84"/>
    </row>
    <row r="30" spans="3:15" ht="11.25" customHeight="1">
      <c r="C30" s="97" t="s">
        <v>92</v>
      </c>
      <c r="D30" s="107"/>
      <c r="E30" s="83"/>
      <c r="F30" s="83"/>
      <c r="G30" s="83"/>
      <c r="H30" s="83"/>
      <c r="I30" s="84"/>
      <c r="J30" s="69"/>
      <c r="K30" s="69"/>
      <c r="L30" s="84"/>
      <c r="M30" s="84"/>
      <c r="N30" s="84"/>
      <c r="O30" s="84"/>
    </row>
    <row r="31" spans="3:15" ht="11.25" customHeight="1">
      <c r="C31" s="99" t="s">
        <v>93</v>
      </c>
      <c r="D31" s="89">
        <f>SUM(D20:H20)-SUM(D28:H28)</f>
        <v>28.581451241796042</v>
      </c>
      <c r="E31" s="83"/>
      <c r="F31" s="83"/>
      <c r="G31" s="83"/>
      <c r="H31" s="83"/>
      <c r="I31" s="84"/>
      <c r="J31" s="69"/>
      <c r="K31" s="69"/>
      <c r="L31" s="84"/>
      <c r="M31" s="84"/>
      <c r="N31" s="84"/>
      <c r="O31" s="84"/>
    </row>
    <row r="32" spans="3:15" ht="11.25" customHeight="1">
      <c r="C32" s="99" t="s">
        <v>94</v>
      </c>
      <c r="D32" s="88">
        <v>0.3</v>
      </c>
      <c r="E32" s="83"/>
      <c r="F32" s="83"/>
      <c r="G32" s="83"/>
      <c r="H32" s="83"/>
      <c r="I32" s="84"/>
      <c r="J32" s="69"/>
      <c r="K32" s="69"/>
      <c r="L32" s="84"/>
      <c r="M32" s="84"/>
      <c r="N32" s="84"/>
      <c r="O32" s="84"/>
    </row>
    <row r="33" spans="1:16382" ht="11.25" customHeight="1">
      <c r="C33" s="99" t="s">
        <v>95</v>
      </c>
      <c r="D33" s="89">
        <f>(1-D32)*D31</f>
        <v>20.007015869257227</v>
      </c>
      <c r="E33" s="83"/>
      <c r="F33" s="83"/>
      <c r="G33" s="83"/>
      <c r="H33" s="83"/>
      <c r="I33" s="84"/>
      <c r="J33" s="69"/>
      <c r="K33" s="69"/>
      <c r="L33" s="84"/>
      <c r="M33" s="84"/>
      <c r="N33" s="84"/>
      <c r="O33" s="84"/>
    </row>
    <row r="34" spans="1:16382" ht="11.25" customHeight="1">
      <c r="C34" s="99" t="s">
        <v>96</v>
      </c>
      <c r="D34" s="89">
        <f>D32*D31</f>
        <v>8.5744353725388116</v>
      </c>
      <c r="E34" s="83"/>
      <c r="F34" s="83"/>
      <c r="G34" s="83"/>
      <c r="H34" s="83"/>
      <c r="I34" s="84"/>
      <c r="J34" s="69"/>
      <c r="K34" s="69"/>
      <c r="L34" s="84"/>
      <c r="M34" s="84"/>
      <c r="N34" s="84"/>
      <c r="O34" s="84"/>
    </row>
    <row r="35" spans="1:16382" ht="11.25" customHeight="1">
      <c r="C35" s="99" t="s">
        <v>97</v>
      </c>
      <c r="D35" s="89">
        <f>SUM(D21:H21)</f>
        <v>11.430696089502174</v>
      </c>
      <c r="E35" s="83"/>
      <c r="F35" s="83"/>
      <c r="G35" s="83"/>
      <c r="H35" s="83"/>
      <c r="I35" s="84"/>
      <c r="J35" s="69"/>
      <c r="K35" s="69"/>
      <c r="L35" s="84"/>
      <c r="M35" s="84"/>
      <c r="N35" s="84"/>
      <c r="O35" s="84"/>
    </row>
    <row r="36" spans="1:16382" ht="11.25" customHeight="1">
      <c r="C36" s="100" t="s">
        <v>98</v>
      </c>
      <c r="D36" s="90">
        <f>D34-D35</f>
        <v>-2.8562607169633623</v>
      </c>
      <c r="E36" s="83"/>
      <c r="F36" s="83"/>
      <c r="G36" s="83"/>
      <c r="H36" s="83"/>
      <c r="I36" s="84"/>
      <c r="J36" s="69"/>
      <c r="K36" s="69"/>
      <c r="L36" s="84"/>
      <c r="M36" s="84"/>
      <c r="N36" s="84"/>
      <c r="O36" s="84"/>
    </row>
    <row r="37" spans="1:16382" ht="11.25" customHeight="1">
      <c r="D37" s="20"/>
      <c r="J37" s="2"/>
    </row>
    <row r="38" spans="1:16382" s="8" customFormat="1" ht="12" customHeight="1">
      <c r="B38" s="23" t="s">
        <v>99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1"/>
      <c r="D40" s="154" t="str">
        <f>'Input | General'!D18</f>
        <v>2024-25</v>
      </c>
      <c r="E40" s="154" t="str">
        <f>'Input | General'!E18</f>
        <v>2025–26</v>
      </c>
      <c r="F40" s="154" t="str">
        <f>'Input | General'!F18</f>
        <v>2026–27</v>
      </c>
      <c r="G40" s="154" t="str">
        <f>'Input | General'!G18</f>
        <v>2027–28</v>
      </c>
      <c r="H40" s="154" t="str">
        <f>'Input | General'!H18</f>
        <v>2028–29</v>
      </c>
    </row>
    <row r="41" spans="1:16382" s="24" customFormat="1" ht="11.25" customHeight="1">
      <c r="C41" s="87" t="s">
        <v>100</v>
      </c>
      <c r="D41" s="144">
        <f>1/(1+'Input | Inflation and Disc Rate'!L21)</f>
        <v>0.97136418732528629</v>
      </c>
      <c r="E41" s="144">
        <f>D41/(1+'Input | Inflation and Disc Rate'!M21)</f>
        <v>0.9430299857051242</v>
      </c>
      <c r="F41" s="144">
        <f>E41/(1+'Input | Inflation and Disc Rate'!N21)</f>
        <v>0.91479324900264303</v>
      </c>
      <c r="G41" s="144">
        <f>F41/(1+'Input | Inflation and Disc Rate'!O21)</f>
        <v>0.88667334978872825</v>
      </c>
      <c r="H41" s="145">
        <f>G41/(1+'Input | Inflation and Disc Rate'!P21)</f>
        <v>0.85860382891203846</v>
      </c>
    </row>
    <row r="42" spans="1:16382" s="24" customFormat="1" ht="11.25" customHeight="1">
      <c r="C42" s="160" t="str">
        <f>CONCATENATE("CESS Payment Per Year ($", 'Output | Models'!$F$8," million)")</f>
        <v>CESS Payment Per Year ($2023–24 million)</v>
      </c>
      <c r="D42" s="96">
        <f>D36/(SUM(D41:H41))</f>
        <v>-0.62439235326144416</v>
      </c>
      <c r="E42" s="96">
        <f>D42</f>
        <v>-0.62439235326144416</v>
      </c>
      <c r="F42" s="96">
        <f t="shared" ref="F42:H42" si="5">E42</f>
        <v>-0.62439235326144416</v>
      </c>
      <c r="G42" s="96">
        <f t="shared" si="5"/>
        <v>-0.62439235326144416</v>
      </c>
      <c r="H42" s="124">
        <f t="shared" si="5"/>
        <v>-0.62439235326144416</v>
      </c>
    </row>
    <row r="43" spans="1:16382" s="69" customFormat="1" ht="11.25" customHeight="1"/>
    <row r="44" spans="1:16382" s="24" customFormat="1" ht="11.25" customHeight="1">
      <c r="C44" s="160" t="str">
        <f>CONCATENATE("Total CESS Payment ($", 'Output | Models'!$F$8," million)")</f>
        <v>Total CESS Payment ($2023–24 million)</v>
      </c>
      <c r="D44" s="129">
        <f>SUM(D42:H42)</f>
        <v>-3.121961766307221</v>
      </c>
      <c r="E44" s="60"/>
      <c r="F44" s="60"/>
      <c r="G44" s="60"/>
      <c r="H44" s="60"/>
    </row>
    <row r="45" spans="1:16382" s="24" customFormat="1" ht="11.25" customHeight="1">
      <c r="C45" s="59"/>
      <c r="D45" s="86"/>
      <c r="E45" s="60"/>
      <c r="F45" s="60"/>
      <c r="G45" s="60"/>
      <c r="H45" s="60"/>
    </row>
    <row r="46" spans="1:16382" s="24" customFormat="1" ht="11.25" customHeight="1"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6382" ht="12" customHeight="1">
      <c r="A47" s="23"/>
      <c r="B47" s="23" t="s">
        <v>14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/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Essential Energy 2024-29 Draft Decision - Capital expenditure sharing scheme model</v>
      </c>
      <c r="C1" s="29"/>
      <c r="D1" s="29"/>
      <c r="E1" s="29"/>
      <c r="F1" s="30"/>
      <c r="G1" s="30"/>
      <c r="H1" s="30"/>
      <c r="I1" s="30"/>
      <c r="J1" s="92"/>
      <c r="K1" s="93" t="s">
        <v>15</v>
      </c>
      <c r="L1" s="130" t="s">
        <v>16</v>
      </c>
      <c r="M1" s="134" t="s">
        <v>17</v>
      </c>
      <c r="R1" s="94"/>
      <c r="S1" s="69"/>
      <c r="T1" s="69"/>
      <c r="U1" s="69"/>
      <c r="V1" s="69"/>
      <c r="W1" s="69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186"/>
      <c r="K3" s="186"/>
      <c r="L3" s="186"/>
      <c r="M3" s="35"/>
      <c r="N3" s="186"/>
      <c r="O3" s="186"/>
      <c r="P3" s="186"/>
      <c r="Q3" s="186"/>
      <c r="R3" s="186"/>
      <c r="S3" s="186"/>
      <c r="T3" s="186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101</v>
      </c>
      <c r="C4" s="37"/>
      <c r="D4" s="37"/>
      <c r="E4" s="37"/>
      <c r="F4" s="37"/>
      <c r="G4" s="39"/>
      <c r="H4" s="39"/>
      <c r="I4" s="39"/>
      <c r="J4" s="40" t="s">
        <v>102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69"/>
      <c r="R5" s="69"/>
      <c r="S5" s="69"/>
      <c r="T5" s="69"/>
      <c r="U5" s="69"/>
      <c r="V5" s="69"/>
      <c r="W5" s="69"/>
      <c r="X5" s="69"/>
    </row>
    <row r="6" spans="1:27" ht="11.25" customHeight="1">
      <c r="C6" s="47" t="s">
        <v>103</v>
      </c>
      <c r="D6" s="48" t="s">
        <v>40</v>
      </c>
      <c r="E6" s="48" t="s">
        <v>41</v>
      </c>
      <c r="F6" s="48" t="s">
        <v>54</v>
      </c>
      <c r="H6" s="48"/>
      <c r="I6" s="48"/>
      <c r="J6" s="155" t="str">
        <f>'Calc | CESS Revenue Increments'!D40</f>
        <v>2024-25</v>
      </c>
      <c r="K6" s="155" t="str">
        <f>'Calc | CESS Revenue Increments'!E40</f>
        <v>2025–26</v>
      </c>
      <c r="L6" s="155" t="str">
        <f>'Calc | CESS Revenue Increments'!F40</f>
        <v>2026–27</v>
      </c>
      <c r="M6" s="155" t="str">
        <f>'Calc | CESS Revenue Increments'!G40</f>
        <v>2027–28</v>
      </c>
      <c r="N6" s="155" t="str">
        <f>'Calc | CESS Revenue Increments'!H40</f>
        <v>2028–29</v>
      </c>
      <c r="O6" s="49" t="s">
        <v>104</v>
      </c>
      <c r="P6" s="115"/>
      <c r="Q6" s="69"/>
      <c r="R6" s="69"/>
      <c r="S6" s="69"/>
      <c r="T6" s="69"/>
      <c r="U6" s="69"/>
      <c r="V6" s="69"/>
      <c r="W6" s="69"/>
      <c r="X6" s="69"/>
    </row>
    <row r="7" spans="1:27" ht="11.25" customHeight="1">
      <c r="C7" s="47"/>
      <c r="D7" s="48"/>
      <c r="E7" s="48"/>
      <c r="F7" s="48"/>
      <c r="H7" s="48"/>
      <c r="I7" s="48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7" ht="11.25" customHeight="1">
      <c r="C8" s="50" t="s">
        <v>105</v>
      </c>
      <c r="D8" s="157" t="s">
        <v>10</v>
      </c>
      <c r="E8" s="45" t="s">
        <v>56</v>
      </c>
      <c r="F8" s="156" t="str">
        <f>IF(LEN(J6)&gt;4,CONCATENATE(LEFT(J6,4)-1&amp;"–"&amp;IF(RIGHT(J6,2)="00","99",IF(RIGHT(J6,2)-1&lt;10,"0","")&amp;RIGHT(J6,2)-1)),J6-1)</f>
        <v>2023–24</v>
      </c>
      <c r="H8" s="48"/>
      <c r="I8" s="48"/>
      <c r="J8" s="176">
        <f>'Calc | CESS Revenue Increments'!D42</f>
        <v>-0.62439235326144416</v>
      </c>
      <c r="K8" s="176">
        <f>'Calc | CESS Revenue Increments'!E42</f>
        <v>-0.62439235326144416</v>
      </c>
      <c r="L8" s="176">
        <f>'Calc | CESS Revenue Increments'!F42</f>
        <v>-0.62439235326144416</v>
      </c>
      <c r="M8" s="176">
        <f>'Calc | CESS Revenue Increments'!G42</f>
        <v>-0.62439235326144416</v>
      </c>
      <c r="N8" s="176">
        <f>'Calc | CESS Revenue Increments'!H42</f>
        <v>-0.62439235326144416</v>
      </c>
      <c r="O8" s="178">
        <f>SUM(J8:N8)</f>
        <v>-3.121961766307221</v>
      </c>
      <c r="P8" s="116"/>
      <c r="Q8" s="69"/>
      <c r="R8" s="69"/>
      <c r="S8" s="69"/>
      <c r="T8" s="69"/>
      <c r="U8" s="69"/>
      <c r="V8" s="69"/>
      <c r="W8" s="69"/>
      <c r="X8" s="69"/>
    </row>
    <row r="9" spans="1:27" ht="11.25" customHeight="1">
      <c r="C9" s="50"/>
      <c r="D9" s="51"/>
      <c r="H9" s="48"/>
      <c r="I9" s="48"/>
      <c r="Q9" s="69"/>
      <c r="R9" s="69"/>
      <c r="S9" s="69"/>
      <c r="T9" s="69"/>
      <c r="U9" s="69"/>
      <c r="V9" s="69"/>
      <c r="W9" s="69"/>
      <c r="X9" s="69"/>
    </row>
    <row r="10" spans="1:27" ht="11.25" customHeight="1">
      <c r="D10" s="51"/>
      <c r="H10" s="48"/>
      <c r="I10" s="48"/>
      <c r="J10" s="114"/>
      <c r="K10" s="114"/>
      <c r="L10" s="114"/>
      <c r="M10" s="114"/>
      <c r="N10" s="114"/>
      <c r="Q10" s="69"/>
      <c r="R10" s="69"/>
      <c r="S10" s="69"/>
      <c r="T10" s="69"/>
      <c r="U10" s="69"/>
      <c r="V10" s="69"/>
      <c r="W10" s="69"/>
      <c r="X10" s="69"/>
    </row>
    <row r="11" spans="1:27" s="43" customFormat="1" ht="12.75">
      <c r="A11" s="37"/>
      <c r="B11" s="38" t="s">
        <v>14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52"/>
      <c r="N17" s="52"/>
      <c r="O17" s="52"/>
      <c r="P17" s="52"/>
      <c r="Q17" s="52"/>
      <c r="R17" s="52"/>
      <c r="S17" s="52"/>
      <c r="T17" s="52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2023-09-24T22:46:07Z</dcterms:created>
  <dcterms:modified xsi:type="dcterms:W3CDTF">2023-09-24T22:46:13Z</dcterms:modified>
  <cp:category/>
  <cp:contentStatus/>
</cp:coreProperties>
</file>