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38D7BFDD-B39A-4BD9-99FF-5E0C8CD3E085}" xr6:coauthVersionLast="47" xr6:coauthVersionMax="47" xr10:uidLastSave="{00000000-0000-0000-0000-000000000000}"/>
  <bookViews>
    <workbookView xWindow="-120" yWindow="-120" windowWidth="29040" windowHeight="15840" tabRatio="691" activeTab="3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  <externalReference r:id="rId8"/>
  </externalReferences>
  <definedNames>
    <definedName name="CIQWBGuid" hidden="1">"Base Case - PTRM capex inputs FY20-24 v1.xlsx"</definedName>
    <definedName name="CRCP_final_year">'[1]AER ETL'!$C$49</definedName>
    <definedName name="CRCP_y1">'[1]AER lookups'!$G$41</definedName>
    <definedName name="CRCP_y10">'[1]AER lookups'!$G$50</definedName>
    <definedName name="CRCP_y11">'[1]AER lookups'!$G$51</definedName>
    <definedName name="CRCP_y12">'[1]AER lookups'!$G$52</definedName>
    <definedName name="CRCP_y13">'[1]AER lookups'!$G$53</definedName>
    <definedName name="CRCP_y14">'[1]AER lookups'!$G$54</definedName>
    <definedName name="CRCP_y15">'[1]AER lookups'!$G$55</definedName>
    <definedName name="CRCP_y2">'[1]AER lookups'!$G$42</definedName>
    <definedName name="CRCP_y3">'[1]AER lookups'!$G$43</definedName>
    <definedName name="CRCP_y4">'[1]AER lookups'!$G$44</definedName>
    <definedName name="CRCP_y5">'[1]AER lookups'!$G$45</definedName>
    <definedName name="CRCP_y6">'[1]AER lookups'!$G$46</definedName>
    <definedName name="CRCP_y7">'[1]AER lookups'!$G$47</definedName>
    <definedName name="CRCP_y8">'[1]AER lookups'!$G$48</definedName>
    <definedName name="CRCP_y9">'[1]AER lookups'!$G$49</definedName>
    <definedName name="CRY">'[1]Business &amp; other details'!$AL$54</definedName>
    <definedName name="dms_060301_checkvalue">'[1]AER ETL'!$C$92</definedName>
    <definedName name="dms_060301_LastRow">'[1]AER ETL'!$C$94</definedName>
    <definedName name="dms_060701_ARR_MaxRows">'[1]AER ETL'!$C$102</definedName>
    <definedName name="dms_060701_Reset_MaxRows">'[1]AER ETL'!$C$101</definedName>
    <definedName name="dms_060701_StartDateTxt">'[1]AER ETL'!$C$108</definedName>
    <definedName name="dms_0608_LastRow">'[1]AER ETL'!$C$115</definedName>
    <definedName name="dms_0608_OffsetRows">'[1]AER ETL'!$C$114</definedName>
    <definedName name="dms_663_List">'[1]AER lookups'!$N$10:$N$18</definedName>
    <definedName name="dms_ABN_List">'[1]AER lookups'!$D$10:$D$18</definedName>
    <definedName name="dms_Addr1_List">'[1]AER lookups'!$O$10:$O$18</definedName>
    <definedName name="dms_Addr2_List">'[1]AER lookups'!$P$10:$P$18</definedName>
    <definedName name="dms_Amendment_Text">'[1]Business &amp; other details'!$AL$70</definedName>
    <definedName name="dms_Cal_Year_B4_CRY">'[1]AER ETL'!$C$31</definedName>
    <definedName name="dms_CBD_flag">'[1]AER lookups'!$Y$10:$Y$18</definedName>
    <definedName name="dms_CF_8.1_Neg">'[1]AER CF'!$U$7:$U$35</definedName>
    <definedName name="dms_CF_TradingName">'[1]AER CF'!$B$7:$B$35</definedName>
    <definedName name="dms_Confid_status_List">'[1]AER NRs'!$D$6:$D$8</definedName>
    <definedName name="dms_CRCP_start_row">'[1]AER ETL'!$C$42</definedName>
    <definedName name="dms_CRCPlength_List">'[1]AER lookups'!$K$10:$K$18</definedName>
    <definedName name="dms_CRCPlength_Num">'[1]AER ETL'!$C$71</definedName>
    <definedName name="dms_CRY_RYE">'[1]AER ETL'!$C$55</definedName>
    <definedName name="dms_CRY_start_row">'[1]AER ETL'!$C$40</definedName>
    <definedName name="dms_CRY_start_year">'[1]AER ETL'!$C$39</definedName>
    <definedName name="dms_DataQuality_List">'[1]AER NRs'!$C$6:$C$9</definedName>
    <definedName name="dms_dollar_nom_UOM">'[1]AER ETL'!$C$26</definedName>
    <definedName name="dms_DollarReal">'[1]AER ETL'!$C$33</definedName>
    <definedName name="dms_DollarReal_Prev">'[1]AER ETL'!$C$34</definedName>
    <definedName name="dms_DollarReal_year">'[1]AER ETL'!$C$53</definedName>
    <definedName name="dms_FeederName_1">'[1]AER lookups'!$AD$10:$AD$18</definedName>
    <definedName name="dms_FeederName_2">'[1]AER lookups'!$AE$10:$AE$18</definedName>
    <definedName name="dms_FeederName_3">'[1]AER lookups'!$AF$10:$AF$18</definedName>
    <definedName name="dms_FeederName_4">'[1]AER lookups'!$AG$10:$AG$18</definedName>
    <definedName name="dms_FeederName_5">'[1]AER lookups'!$AH$10:$AH$18</definedName>
    <definedName name="dms_FeederType_5_flag">'[1]AER lookups'!$AC$10:$AC$18</definedName>
    <definedName name="dms_FifthFeeder_flag_NSP">'[1]AER ETL'!$C$127</definedName>
    <definedName name="dms_FormControl_List">'[1]AER lookups'!$H$10:$H$18</definedName>
    <definedName name="dms_FRCP_start_row">'[1]AER ETL'!$C$41</definedName>
    <definedName name="dms_FRCPlength_List">'[1]AER lookups'!$L$10:$L$18</definedName>
    <definedName name="dms_FRCPlength_Num">'[1]AER ETL'!$C$72</definedName>
    <definedName name="dms_Header_Span">'[1]AER ETL'!$C$62</definedName>
    <definedName name="dms_JurisdictionList">'[1]AER lookups'!$E$10:$E$18</definedName>
    <definedName name="dms_LeapYear_Result">'[1]AER ETL'!$C$100</definedName>
    <definedName name="dms_LongRural_flag">'[1]AER lookups'!$AB$10:$AB$18</definedName>
    <definedName name="dms_MAIFI_Flag">'[1]AER ETL'!$C$110</definedName>
    <definedName name="dms_Model">'[1]AER ETL'!$C$13</definedName>
    <definedName name="dms_Model_List">'[1]AER lookups'!$B$25:$B$36</definedName>
    <definedName name="dms_Model_Span">'[1]AER ETL'!$C$58</definedName>
    <definedName name="dms_Model_Span_List">'[1]AER lookups'!$E$25:$E$36</definedName>
    <definedName name="dms_MultiYear_Flag">'[1]AER ETL'!$C$65</definedName>
    <definedName name="dms_MultiYear_ResponseFlag">'[1]AER ETL'!$C$64</definedName>
    <definedName name="dms_PAddr1_List">'[1]AER lookups'!$T$10:$T$18</definedName>
    <definedName name="dms_PAddr2_List">'[1]AER lookups'!$U$10:$U$18</definedName>
    <definedName name="dms_PRCP_start_row">'[1]AER ETL'!$C$43</definedName>
    <definedName name="dms_PRCPlength_List">'[1]AER lookups'!$M$10:$M$18</definedName>
    <definedName name="dms_PRCPlength_Num">'[1]AER ETL'!$C$70</definedName>
    <definedName name="dms_Previous_DollarReal_year">'[1]AER ETL'!$C$54</definedName>
    <definedName name="dms_PState_List">'[1]AER lookups'!$W$10:$W$18</definedName>
    <definedName name="dms_PSuburb_List">'[1]AER lookups'!$V$10:$V$18</definedName>
    <definedName name="dms_Public_Lighting_List">'[1]AER lookups'!$AJ$10:$AJ$18</definedName>
    <definedName name="dms_Reset_final_year">'[1]AER ETL'!$C$51</definedName>
    <definedName name="dms_Reset_RYE">'[1]AER ETL'!$C$56</definedName>
    <definedName name="dms_RPT">'[1]AER ETL'!$C$25</definedName>
    <definedName name="dms_RPT_List">'[1]AER lookups'!$I$10:$I$18</definedName>
    <definedName name="dms_RPTMonth">'[1]AER ETL'!$C$32</definedName>
    <definedName name="dms_RPTMonth_List">'[1]AER lookups'!$J$10:$J$18</definedName>
    <definedName name="dms_RYE_result">'[1]AER ETL'!$C$59</definedName>
    <definedName name="dms_RYE_start_row">'[1]AER ETL'!$C$44</definedName>
    <definedName name="dms_Sector">'[1]AER ETL'!$C$22</definedName>
    <definedName name="dms_Sector_List">'[1]AER lookups'!$F$10:$F$18</definedName>
    <definedName name="dms_Segment">'[1]AER ETL'!$C$23</definedName>
    <definedName name="dms_Segment_List">'[1]AER lookups'!$G$10:$G$18</definedName>
    <definedName name="dms_ShortRural_flag">'[1]AER lookups'!$AA$10:$AA$18</definedName>
    <definedName name="dms_SingleYear_Model">'[1]AER ETL'!$C$74:$C$76</definedName>
    <definedName name="dms_SingleYearModel">'[1]AER ETL'!$C$77</definedName>
    <definedName name="dms_SourceList">'[1]AER NRs'!$C$14:$C$29</definedName>
    <definedName name="dms_Specified_FinalYear">'[1]AER ETL'!$C$66</definedName>
    <definedName name="dms_Specified_RYE">'[1]AER ETL'!$C$57</definedName>
    <definedName name="dms_SpecifiedYear_Span">'[1]AER ETL'!$C$61</definedName>
    <definedName name="dms_start_year">'[1]AER ETL'!$C$38</definedName>
    <definedName name="dms_State_List">'[1]AER lookups'!$R$10:$R$18</definedName>
    <definedName name="dms_Suburb_List">'[1]AER lookups'!$Q$10:$Q$18</definedName>
    <definedName name="dms_TradingName">'[1]Business &amp; other details'!$AL$16</definedName>
    <definedName name="dms_TradingName_List">'[1]AER lookups'!$B$10:$B$18</definedName>
    <definedName name="dms_TradingNameFull">'[1]AER ETL'!$C$11</definedName>
    <definedName name="dms_TradingNameFull_List">'[1]AER lookups'!$C$10:$C$18</definedName>
    <definedName name="dms_Typed_Submission_Date">'[1]Business &amp; other details'!$AL$74</definedName>
    <definedName name="dms_Urban_flag">'[1]AER lookups'!$Z$10:$Z$18</definedName>
    <definedName name="dms_Worksheet_List">'[1]AER lookups'!$D$25:$D$36</definedName>
    <definedName name="dms_y1">'[1]AER lookups'!$E$76</definedName>
    <definedName name="dms_y2">'[1]AER lookups'!$E$77</definedName>
    <definedName name="dms_y3">'[1]AER lookups'!$E$78</definedName>
    <definedName name="dms_y4">'[1]AER lookups'!$E$79</definedName>
    <definedName name="dms_y5">'[1]AER lookups'!$E$80</definedName>
    <definedName name="dms_y6">'[1]AER lookups'!$E$81</definedName>
    <definedName name="dms_y7">'[1]AER lookups'!$E$82</definedName>
    <definedName name="dms_y8">'[1]AER lookups'!$E$83</definedName>
    <definedName name="dollars">#REF!</definedName>
    <definedName name="factor">#REF!</definedName>
    <definedName name="FRCP_final_year">'[1]AER ETL'!$C$48</definedName>
    <definedName name="FRCP_y1">'[1]Business &amp; other details'!$AL$42</definedName>
    <definedName name="FRCP_y10">'[1]AER lookups'!$I$50</definedName>
    <definedName name="FRCP_y11">'[1]AER lookups'!$I$51</definedName>
    <definedName name="FRCP_y12">'[1]AER lookups'!$I$52</definedName>
    <definedName name="FRCP_y13">'[1]AER lookups'!$I$53</definedName>
    <definedName name="FRCP_y14">'[1]AER lookups'!$I$54</definedName>
    <definedName name="FRCP_y15">'[1]AER lookups'!$I$55</definedName>
    <definedName name="FRCP_y2">'[1]AER lookups'!$I$42</definedName>
    <definedName name="FRCP_y3">'[1]AER lookups'!$I$43</definedName>
    <definedName name="FRCP_y4">'[1]AER lookups'!$I$44</definedName>
    <definedName name="FRCP_y5">'[1]AER lookups'!$I$45</definedName>
    <definedName name="FRCP_y6">'[1]AER lookups'!$I$46</definedName>
    <definedName name="FRCP_y7">'[1]AER lookups'!$I$47</definedName>
    <definedName name="FRCP_y8">'[1]AER lookups'!$I$48</definedName>
    <definedName name="FRCP_y9">'[1]AER lookups'!$I$49</definedName>
    <definedName name="FRY">'[1]Business &amp; other details'!$AL$56</definedName>
    <definedName name="millions">#REF!</definedName>
    <definedName name="Nominal_to_Real">'[2]Input|Rate of change'!$C$23:$C$26</definedName>
    <definedName name="number">#REF!</definedName>
    <definedName name="percent" localSheetId="5">'[2]Lookup|Tables'!$G$14</definedName>
    <definedName name="percent">#REF!</definedName>
    <definedName name="PRCP_final_year">'[1]AER ETL'!$C$50</definedName>
    <definedName name="PRCP_y1">'[1]AER lookups'!$E$41</definedName>
    <definedName name="PRCP_y10">'[1]AER lookups'!$E$50</definedName>
    <definedName name="PRCP_y11">'[1]AER lookups'!$E$51</definedName>
    <definedName name="PRCP_y12">'[1]AER lookups'!$E$52</definedName>
    <definedName name="PRCP_y13">'[1]AER lookups'!$E$53</definedName>
    <definedName name="PRCP_y14">'[1]AER lookups'!$E$54</definedName>
    <definedName name="PRCP_y15">'[1]AER lookups'!$E$55</definedName>
    <definedName name="PRCP_y2">'[1]AER lookups'!$E$42</definedName>
    <definedName name="PRCP_y3">'[1]AER lookups'!$E$43</definedName>
    <definedName name="PRCP_y4">'[1]AER lookups'!$E$44</definedName>
    <definedName name="PRCP_y5">'[1]AER lookups'!$E$45</definedName>
    <definedName name="PRCP_y6">'[1]AER lookups'!$E$46</definedName>
    <definedName name="PRCP_y7">'[1]AER lookups'!$E$47</definedName>
    <definedName name="PRCP_y8">'[1]AER lookups'!$E$48</definedName>
    <definedName name="PRCP_y9">'[1]AER lookups'!$E$49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E8" i="4"/>
  <c r="D8" i="4"/>
  <c r="H13" i="2"/>
  <c r="G13" i="2"/>
  <c r="F13" i="2"/>
  <c r="E13" i="2"/>
  <c r="D13" i="2"/>
  <c r="D18" i="2"/>
  <c r="E18" i="2"/>
  <c r="F18" i="2"/>
  <c r="G18" i="2"/>
  <c r="H18" i="2"/>
  <c r="G7" i="13"/>
  <c r="F7" i="1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L16" i="3"/>
  <c r="K16" i="3"/>
  <c r="J16" i="3"/>
  <c r="C15" i="13"/>
  <c r="C10" i="13"/>
  <c r="B1" i="2"/>
  <c r="B1" i="10" s="1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C42" i="4"/>
  <c r="C44" i="4"/>
  <c r="B1" i="5" l="1"/>
  <c r="B1" i="4"/>
  <c r="B1" i="13"/>
  <c r="B1" i="3"/>
  <c r="L12" i="3"/>
  <c r="I12" i="3"/>
  <c r="H12" i="3" l="1"/>
  <c r="K12" i="3"/>
  <c r="J12" i="3" l="1"/>
  <c r="H22" i="13" l="1"/>
  <c r="E9" i="4" s="1"/>
  <c r="I22" i="13"/>
  <c r="F9" i="4" s="1"/>
  <c r="G10" i="13"/>
  <c r="H10" i="13" l="1"/>
  <c r="I10" i="13" s="1"/>
  <c r="J10" i="13" s="1"/>
  <c r="K10" i="13" s="1"/>
  <c r="G22" i="13"/>
  <c r="D9" i="4" s="1"/>
  <c r="G15" i="13"/>
  <c r="H15" i="13" l="1"/>
  <c r="D10" i="4"/>
  <c r="I15" i="13" l="1"/>
  <c r="E10" i="4"/>
  <c r="J15" i="13" l="1"/>
  <c r="K15" i="13" s="1"/>
  <c r="F10" i="4"/>
  <c r="H23" i="3" l="1"/>
  <c r="D11" i="4" s="1"/>
  <c r="D12" i="4" s="1"/>
  <c r="F13" i="4" l="1"/>
  <c r="E13" i="4"/>
  <c r="E18" i="4" s="1"/>
  <c r="J23" i="3" l="1"/>
  <c r="F11" i="4" s="1"/>
  <c r="F12" i="4" s="1"/>
  <c r="I23" i="3"/>
  <c r="E11" i="4" s="1"/>
  <c r="E12" i="4" s="1"/>
  <c r="F14" i="4" s="1"/>
  <c r="F18" i="4" s="1"/>
  <c r="J22" i="13" l="1"/>
  <c r="G9" i="4" s="1"/>
  <c r="G10" i="4"/>
  <c r="G8" i="4"/>
  <c r="H10" i="4"/>
  <c r="H8" i="4"/>
  <c r="K22" i="13"/>
  <c r="H9" i="4" s="1"/>
  <c r="G19" i="4" s="1"/>
  <c r="F19" i="4" l="1"/>
  <c r="E19" i="4" s="1"/>
  <c r="H14" i="4"/>
  <c r="H13" i="4"/>
  <c r="H15" i="4"/>
  <c r="L23" i="3"/>
  <c r="H11" i="4" s="1"/>
  <c r="H12" i="4" s="1"/>
  <c r="H20" i="4" s="1"/>
  <c r="G15" i="4"/>
  <c r="G14" i="4"/>
  <c r="G13" i="4"/>
  <c r="K23" i="3"/>
  <c r="G11" i="4" s="1"/>
  <c r="G12" i="4" s="1"/>
  <c r="D41" i="4"/>
  <c r="F20" i="4" l="1"/>
  <c r="F21" i="4"/>
  <c r="E41" i="4"/>
  <c r="G20" i="4"/>
  <c r="H16" i="4"/>
  <c r="H18" i="4" s="1"/>
  <c r="H21" i="4" s="1"/>
  <c r="L15" i="13"/>
  <c r="L22" i="13"/>
  <c r="D25" i="4" s="1"/>
  <c r="D27" i="4" s="1"/>
  <c r="M14" i="13"/>
  <c r="G18" i="4"/>
  <c r="G21" i="4" s="1"/>
  <c r="M9" i="13"/>
  <c r="N9" i="13" s="1"/>
  <c r="O9" i="13" s="1"/>
  <c r="P9" i="13" s="1"/>
  <c r="H30" i="3"/>
  <c r="H31" i="3" s="1"/>
  <c r="D26" i="4" s="1"/>
  <c r="L10" i="13"/>
  <c r="E20" i="4"/>
  <c r="E21" i="4"/>
  <c r="D19" i="4"/>
  <c r="M15" i="13" l="1"/>
  <c r="D28" i="4"/>
  <c r="F41" i="4"/>
  <c r="M22" i="13"/>
  <c r="E25" i="4" s="1"/>
  <c r="E27" i="4" s="1"/>
  <c r="N14" i="13"/>
  <c r="D21" i="4"/>
  <c r="D35" i="4" s="1"/>
  <c r="D20" i="4"/>
  <c r="I30" i="3"/>
  <c r="I31" i="3" s="1"/>
  <c r="E26" i="4" s="1"/>
  <c r="M10" i="13"/>
  <c r="N15" i="13" l="1"/>
  <c r="G41" i="4"/>
  <c r="O14" i="13"/>
  <c r="N22" i="13"/>
  <c r="F25" i="4" s="1"/>
  <c r="F27" i="4" s="1"/>
  <c r="N10" i="13"/>
  <c r="J30" i="3"/>
  <c r="J31" i="3" s="1"/>
  <c r="F26" i="4" s="1"/>
  <c r="E28" i="4"/>
  <c r="H41" i="4"/>
  <c r="F28" i="4" l="1"/>
  <c r="K30" i="3"/>
  <c r="K31" i="3" s="1"/>
  <c r="G26" i="4" s="1"/>
  <c r="O10" i="13"/>
  <c r="O15" i="13"/>
  <c r="O22" i="13"/>
  <c r="G25" i="4" s="1"/>
  <c r="G27" i="4" s="1"/>
  <c r="P14" i="13"/>
  <c r="P22" i="13" s="1"/>
  <c r="H25" i="4" s="1"/>
  <c r="P15" i="13" l="1"/>
  <c r="H27" i="4"/>
  <c r="L30" i="3"/>
  <c r="L31" i="3" s="1"/>
  <c r="H26" i="4" s="1"/>
  <c r="P10" i="13"/>
  <c r="G28" i="4"/>
  <c r="H28" i="4" l="1"/>
  <c r="D31" i="4" s="1"/>
  <c r="D33" i="4" l="1"/>
  <c r="D34" i="4"/>
  <c r="D36" i="4" s="1"/>
  <c r="D42" i="4" s="1"/>
  <c r="E42" i="4" l="1"/>
  <c r="J8" i="10"/>
  <c r="K8" i="10" l="1"/>
  <c r="F42" i="4"/>
  <c r="L8" i="10" l="1"/>
  <c r="G42" i="4"/>
  <c r="H42" i="4" l="1"/>
  <c r="N8" i="10" s="1"/>
  <c r="M8" i="10"/>
  <c r="O8" i="10" l="1"/>
  <c r="D44" i="4"/>
</calcChain>
</file>

<file path=xl/sharedStrings.xml><?xml version="1.0" encoding="utf-8"?>
<sst xmlns="http://schemas.openxmlformats.org/spreadsheetml/2006/main" count="203" uniqueCount="108">
  <si>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</si>
  <si>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</si>
  <si>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</si>
  <si>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</si>
  <si>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</si>
  <si>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</si>
  <si>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</si>
  <si>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</si>
  <si>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</si>
  <si>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</si>
  <si>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</si>
  <si>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</si>
  <si>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</si>
  <si>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</si>
  <si>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</si>
  <si>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</si>
  <si>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</si>
  <si>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</si>
  <si>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</si>
  <si>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</si>
  <si>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</si>
  <si>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</si>
  <si>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</si>
  <si>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</si>
  <si>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</si>
  <si>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</si>
  <si>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</si>
  <si>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</si>
  <si>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</si>
  <si>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</si>
  <si>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</si>
  <si>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</si>
  <si>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</si>
  <si>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</si>
  <si>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</si>
  <si>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</si>
  <si>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</si>
  <si>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</si>
  <si>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</si>
  <si>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</si>
  <si>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</si>
  <si>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</si>
  <si>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</si>
  <si>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</si>
  <si>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</si>
  <si>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</si>
  <si>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</si>
  <si>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</si>
  <si>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</si>
  <si>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</si>
  <si>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</si>
  <si>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</si>
  <si>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</si>
  <si>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</si>
  <si>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</si>
  <si>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</si>
  <si>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</si>
  <si>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</si>
  <si>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</si>
  <si>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</si>
  <si>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</si>
  <si>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</si>
  <si>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</si>
  <si>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</si>
  <si>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</si>
  <si>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</si>
  <si>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</si>
  <si>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</si>
  <si>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</si>
  <si>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</si>
  <si>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</si>
  <si>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</si>
  <si>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</si>
  <si>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</si>
  <si>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</si>
  <si>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</si>
  <si>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</si>
  <si>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</si>
  <si>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</si>
  <si>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</si>
  <si>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</si>
  <si>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</si>
  <si>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</si>
  <si>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</si>
  <si>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</si>
  <si>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</si>
  <si>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</si>
  <si>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</si>
  <si>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</si>
  <si>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</si>
  <si>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</si>
  <si>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</si>
  <si>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</si>
  <si>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</si>
  <si>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</si>
  <si>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</si>
  <si>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</si>
  <si>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</si>
  <si>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</si>
  <si>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</si>
  <si>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DNSP</t>
  </si>
  <si>
    <t>2024-29</t>
  </si>
  <si>
    <t>2024-25</t>
  </si>
  <si>
    <t>$ nominal, mid year</t>
  </si>
  <si>
    <t>$ real, Jun 2019</t>
  </si>
  <si>
    <t>Ausgrid Dx</t>
  </si>
  <si>
    <t>Draft Decision</t>
  </si>
  <si>
    <t>AER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</si>
</sst>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4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341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5" fillId="50" borderId="0" applyBorder="0" applyAlignment="0"/>
    <xf numFmtId="192" fontId="96" fillId="28" borderId="35" applyFont="0" applyBorder="0" applyAlignment="0"/>
    <xf numFmtId="176" fontId="51" fillId="28" borderId="0" applyFont="0" applyBorder="0" applyAlignment="0"/>
    <xf numFmtId="164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</cellStyleXfs>
  <cellXfs count="20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7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4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8" fillId="3" borderId="0" xfId="2" applyFont="1" applyFill="1" applyBorder="1" applyAlignment="1" applyProtection="1">
      <alignment vertical="center"/>
    </xf>
    <xf numFmtId="0" fontId="99" fillId="3" borderId="0" xfId="265" applyFont="1" applyFill="1" applyBorder="1" applyAlignment="1" applyProtection="1">
      <alignment horizontal="right" vertical="center"/>
    </xf>
    <xf numFmtId="0" fontId="99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8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7" fillId="3" borderId="33" xfId="0" applyFont="1" applyFill="1" applyBorder="1" applyAlignment="1"/>
    <xf numFmtId="0" fontId="97" fillId="3" borderId="20" xfId="0" applyFont="1" applyFill="1" applyBorder="1" applyAlignment="1"/>
    <xf numFmtId="0" fontId="12" fillId="0" borderId="37" xfId="0" applyFont="1" applyBorder="1" applyAlignment="1"/>
    <xf numFmtId="0" fontId="98" fillId="3" borderId="0" xfId="2" applyFont="1" applyFill="1" applyBorder="1" applyAlignment="1" applyProtection="1">
      <alignment horizontal="left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64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2" fillId="51" borderId="0" xfId="0" applyNumberFormat="1" applyFont="1" applyFill="1" applyBorder="1" applyAlignment="1" applyProtection="1">
      <alignment horizontal="left" vertical="center"/>
      <protection locked="0"/>
    </xf>
    <xf numFmtId="0" fontId="103" fillId="51" borderId="0" xfId="0" applyFont="1" applyFill="1" applyBorder="1" applyAlignment="1">
      <alignment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1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8" fontId="24" fillId="0" borderId="37" xfId="0" applyNumberFormat="1" applyFont="1" applyFill="1" applyBorder="1" applyAlignment="1">
      <alignment horizontal="right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2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0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0" fillId="54" borderId="0" xfId="265" applyFont="1" applyFill="1" applyBorder="1" applyAlignment="1" applyProtection="1">
      <alignment horizontal="center" vertical="center"/>
    </xf>
    <xf numFmtId="10" fontId="17" fillId="54" borderId="34" xfId="268" applyNumberFormat="1" applyFont="1" applyFill="1" applyBorder="1" applyAlignment="1" applyProtection="1">
      <alignment horizontal="right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43" xfId="265" applyNumberFormat="1" applyFont="1" applyFill="1" applyBorder="1" applyAlignment="1" applyProtection="1">
      <alignment horizontal="right" vertical="center"/>
    </xf>
    <xf numFmtId="2" fontId="17" fillId="54" borderId="0" xfId="265" applyNumberFormat="1" applyFont="1" applyFill="1" applyBorder="1" applyAlignment="1" applyProtection="1">
      <alignment horizontal="right" vertical="center"/>
    </xf>
    <xf numFmtId="2" fontId="17" fillId="54" borderId="35" xfId="265" applyNumberFormat="1" applyFont="1" applyFill="1" applyBorder="1" applyAlignment="1" applyProtection="1">
      <alignment horizontal="right" vertical="center"/>
    </xf>
    <xf numFmtId="2" fontId="17" fillId="54" borderId="5" xfId="265" applyNumberFormat="1" applyFont="1" applyFill="1" applyBorder="1" applyAlignment="1" applyProtection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164" fontId="24" fillId="0" borderId="2" xfId="304" applyFont="1" applyFill="1" applyBorder="1" applyAlignment="1">
      <alignment horizontal="right" vertical="center"/>
    </xf>
    <xf numFmtId="164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3" borderId="40" xfId="0" applyNumberFormat="1" applyFont="1" applyFill="1" applyBorder="1" applyAlignment="1">
      <alignment horizontal="center" vertical="center"/>
    </xf>
    <xf numFmtId="10" fontId="24" fillId="3" borderId="41" xfId="0" applyNumberFormat="1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horizontal="center" vertical="center"/>
    </xf>
    <xf numFmtId="0" fontId="96" fillId="4" borderId="2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20" fillId="3" borderId="0" xfId="304" applyNumberFormat="1" applyFont="1" applyFill="1" applyBorder="1" applyAlignment="1" applyProtection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0" fontId="24" fillId="54" borderId="24" xfId="1" applyFont="1" applyFill="1" applyBorder="1" applyAlignment="1">
      <alignment horizontal="center" vertical="center"/>
    </xf>
    <xf numFmtId="191" fontId="24" fillId="54" borderId="26" xfId="0" applyNumberFormat="1" applyFont="1" applyFill="1" applyBorder="1" applyAlignment="1">
      <alignment horizontal="center" vertical="center"/>
    </xf>
    <xf numFmtId="191" fontId="15" fillId="54" borderId="26" xfId="268" applyNumberFormat="1" applyFont="1" applyFill="1" applyBorder="1" applyAlignment="1">
      <alignment horizontal="center" vertical="center"/>
    </xf>
    <xf numFmtId="10" fontId="24" fillId="54" borderId="26" xfId="0" applyNumberFormat="1" applyFont="1" applyFill="1" applyBorder="1" applyAlignment="1">
      <alignment horizontal="center" vertical="center"/>
    </xf>
    <xf numFmtId="191" fontId="24" fillId="54" borderId="26" xfId="268" applyNumberFormat="1" applyFont="1" applyFill="1" applyBorder="1" applyAlignment="1">
      <alignment horizontal="center" vertical="center"/>
    </xf>
    <xf numFmtId="10" fontId="15" fillId="54" borderId="26" xfId="0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2" fontId="24" fillId="54" borderId="2" xfId="1" applyNumberFormat="1" applyFont="1" applyFill="1" applyBorder="1" applyAlignment="1">
      <alignment horizontal="center" vertical="center"/>
    </xf>
    <xf numFmtId="188" fontId="20" fillId="54" borderId="24" xfId="55" applyNumberFormat="1" applyFont="1" applyFill="1" applyBorder="1" applyAlignment="1" applyProtection="1">
      <alignment horizontal="center" vertical="center"/>
    </xf>
    <xf numFmtId="0" fontId="19" fillId="54" borderId="25" xfId="0" applyNumberFormat="1" applyFont="1" applyFill="1" applyBorder="1" applyAlignment="1" applyProtection="1">
      <alignment horizontal="center" vertical="center"/>
    </xf>
    <xf numFmtId="2" fontId="24" fillId="53" borderId="24" xfId="1" quotePrefix="1" applyNumberFormat="1" applyFont="1" applyFill="1" applyBorder="1" applyAlignment="1">
      <alignment horizontal="center" vertical="center"/>
    </xf>
    <xf numFmtId="0" fontId="100" fillId="55" borderId="0" xfId="265" applyFont="1" applyFill="1" applyBorder="1" applyAlignment="1" applyProtection="1">
      <alignment horizontal="center" vertical="center"/>
    </xf>
    <xf numFmtId="10" fontId="24" fillId="55" borderId="26" xfId="0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2" fontId="24" fillId="55" borderId="24" xfId="1" quotePrefix="1" applyNumberFormat="1" applyFont="1" applyFill="1" applyBorder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88" fillId="3" borderId="44" xfId="3" applyNumberFormat="1" applyFont="1" applyFill="1" applyBorder="1" applyAlignment="1" applyProtection="1">
      <alignment horizontal="center"/>
    </xf>
  </cellXfs>
  <cellStyles count="341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14" xfId="339" xr:uid="{A11AD5D6-D95D-4104-B88F-DC7B6953BD55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 7" xfId="340" xr:uid="{311865CE-DE8F-49AD-B21E-9EBDB3F98B85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%20NOT%20USE%20RIN.11.a%20-%202024-2029%20-%20Reset%20RIN%20-%20workbook%202%20-%20historical%20data%20-%20actu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Contents"/>
      <sheetName val="Business &amp; other details"/>
      <sheetName val="4.2 Metering - Capex"/>
      <sheetName val="4.2 Metering - ICT"/>
      <sheetName val="7.4 Shared Assets"/>
      <sheetName val="Formatting Styles"/>
      <sheetName val="AER Sheet Heading"/>
      <sheetName val="AER CF"/>
      <sheetName val="AER NRs"/>
      <sheetName val="AER lookups"/>
      <sheetName val="AER ETL"/>
    </sheetNames>
    <sheetDataSet>
      <sheetData sheetId="0"/>
      <sheetData sheetId="1"/>
      <sheetData sheetId="2"/>
      <sheetData sheetId="3">
        <row r="16">
          <cell r="AL16" t="str">
            <v>Ausgrid</v>
          </cell>
        </row>
        <row r="42">
          <cell r="AL42" t="str">
            <v>2024-25</v>
          </cell>
        </row>
        <row r="54">
          <cell r="AL54" t="str">
            <v>2014-15</v>
          </cell>
        </row>
        <row r="56">
          <cell r="AL56" t="str">
            <v>2021-22</v>
          </cell>
        </row>
        <row r="70">
          <cell r="AL70" t="str">
            <v>.</v>
          </cell>
        </row>
        <row r="74">
          <cell r="AL74" t="str">
            <v>dd/mm/yy</v>
          </cell>
        </row>
      </sheetData>
      <sheetData sheetId="4"/>
      <sheetData sheetId="5"/>
      <sheetData sheetId="6"/>
      <sheetData sheetId="7"/>
      <sheetData sheetId="8"/>
      <sheetData sheetId="9">
        <row r="7">
          <cell r="B7" t="str">
            <v>Amadeus</v>
          </cell>
          <cell r="U7" t="str">
            <v>-</v>
          </cell>
        </row>
        <row r="8">
          <cell r="B8" t="str">
            <v>APA GasNet</v>
          </cell>
          <cell r="U8" t="str">
            <v>-</v>
          </cell>
        </row>
        <row r="9">
          <cell r="B9" t="str">
            <v>Ausgrid</v>
          </cell>
          <cell r="U9" t="str">
            <v>Y</v>
          </cell>
        </row>
        <row r="10">
          <cell r="B10" t="str">
            <v>Ausgrid (Tx Assets)</v>
          </cell>
          <cell r="U10" t="str">
            <v>Y</v>
          </cell>
        </row>
        <row r="11">
          <cell r="B11" t="str">
            <v>AusNet (D)</v>
          </cell>
          <cell r="U11" t="str">
            <v>Y</v>
          </cell>
        </row>
        <row r="12">
          <cell r="B12" t="str">
            <v>AusNet (T)</v>
          </cell>
          <cell r="U12" t="str">
            <v>Y</v>
          </cell>
        </row>
        <row r="13">
          <cell r="B13" t="str">
            <v>Australian Distribution Co.</v>
          </cell>
          <cell r="U13" t="str">
            <v>N</v>
          </cell>
        </row>
        <row r="14">
          <cell r="B14" t="str">
            <v>Australian Distribution Co. (Vic)</v>
          </cell>
          <cell r="U14" t="str">
            <v>N</v>
          </cell>
        </row>
        <row r="15">
          <cell r="B15" t="str">
            <v>CitiPower</v>
          </cell>
          <cell r="U15" t="str">
            <v>Y</v>
          </cell>
        </row>
        <row r="16">
          <cell r="B16" t="str">
            <v>Directlink</v>
          </cell>
          <cell r="U16" t="str">
            <v>Y</v>
          </cell>
        </row>
        <row r="17">
          <cell r="B17" t="str">
            <v>ElectraNet</v>
          </cell>
          <cell r="U17" t="str">
            <v>Y</v>
          </cell>
        </row>
        <row r="18">
          <cell r="B18" t="str">
            <v>Endeavour Energy</v>
          </cell>
          <cell r="U18" t="str">
            <v>Y</v>
          </cell>
        </row>
        <row r="19">
          <cell r="B19" t="str">
            <v>Energex</v>
          </cell>
          <cell r="U19" t="str">
            <v>Y</v>
          </cell>
        </row>
        <row r="20">
          <cell r="B20" t="str">
            <v>Ergon Energy</v>
          </cell>
          <cell r="U20" t="str">
            <v>Y</v>
          </cell>
        </row>
        <row r="21">
          <cell r="B21" t="str">
            <v>Essential Energy</v>
          </cell>
          <cell r="U21" t="str">
            <v>Y</v>
          </cell>
        </row>
        <row r="22">
          <cell r="B22" t="str">
            <v>Evoenergy Distribution</v>
          </cell>
          <cell r="U22" t="str">
            <v>Y</v>
          </cell>
        </row>
        <row r="23">
          <cell r="B23" t="str">
            <v>Evoenergy Distribution (Tx Assets)</v>
          </cell>
          <cell r="U23" t="str">
            <v>Y</v>
          </cell>
        </row>
        <row r="24">
          <cell r="B24" t="str">
            <v>Jemena Electricity</v>
          </cell>
          <cell r="U24" t="str">
            <v>Y</v>
          </cell>
        </row>
        <row r="25">
          <cell r="B25" t="str">
            <v>JGN</v>
          </cell>
          <cell r="U25" t="str">
            <v>-</v>
          </cell>
        </row>
        <row r="26">
          <cell r="B26" t="str">
            <v>Murraylink</v>
          </cell>
          <cell r="U26" t="str">
            <v>Y</v>
          </cell>
        </row>
        <row r="27">
          <cell r="B27" t="str">
            <v>Power and Water</v>
          </cell>
          <cell r="U27" t="str">
            <v>Y</v>
          </cell>
        </row>
        <row r="28">
          <cell r="B28" t="str">
            <v>Powercor Australia</v>
          </cell>
          <cell r="U28" t="str">
            <v>Y</v>
          </cell>
        </row>
        <row r="29">
          <cell r="B29" t="str">
            <v>Powerlink</v>
          </cell>
          <cell r="U29" t="str">
            <v>Y</v>
          </cell>
        </row>
        <row r="30">
          <cell r="B30" t="str">
            <v>Roma to Brisbane Pipeline</v>
          </cell>
          <cell r="U30" t="str">
            <v>-</v>
          </cell>
        </row>
        <row r="31">
          <cell r="B31" t="str">
            <v>SA Power Networks</v>
          </cell>
          <cell r="U31" t="str">
            <v>N</v>
          </cell>
        </row>
        <row r="32">
          <cell r="B32" t="str">
            <v>TasNetworks (D)</v>
          </cell>
          <cell r="U32" t="str">
            <v>Y</v>
          </cell>
        </row>
        <row r="33">
          <cell r="B33" t="str">
            <v>TasNetworks (T)</v>
          </cell>
          <cell r="U33" t="str">
            <v>Y</v>
          </cell>
        </row>
        <row r="34">
          <cell r="B34" t="str">
            <v>TransGrid</v>
          </cell>
          <cell r="U34" t="str">
            <v>Y</v>
          </cell>
        </row>
        <row r="35">
          <cell r="B35" t="str">
            <v>United Energy</v>
          </cell>
          <cell r="U35" t="str">
            <v>Y</v>
          </cell>
        </row>
      </sheetData>
      <sheetData sheetId="1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</row>
        <row r="15">
          <cell r="C15" t="str">
            <v>After appeal</v>
          </cell>
        </row>
        <row r="16">
          <cell r="C16" t="str">
            <v>Draft decision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Reallocated</v>
          </cell>
        </row>
        <row r="26">
          <cell r="C26" t="str">
            <v>Recast</v>
          </cell>
        </row>
        <row r="27">
          <cell r="C27" t="str">
            <v>Regulatory proposal</v>
          </cell>
        </row>
        <row r="28">
          <cell r="C28" t="str">
            <v>Reporting</v>
          </cell>
        </row>
        <row r="29">
          <cell r="C29" t="str">
            <v>Revised regulatory proposal</v>
          </cell>
        </row>
      </sheetData>
      <sheetData sheetId="11">
        <row r="10">
          <cell r="B10" t="str">
            <v>Ausgrid</v>
          </cell>
          <cell r="C10" t="str">
            <v>Ausgrid</v>
          </cell>
          <cell r="D10">
            <v>67505337385</v>
          </cell>
          <cell r="E10" t="str">
            <v>NSW</v>
          </cell>
          <cell r="F10" t="str">
            <v>Electricity</v>
          </cell>
          <cell r="G10" t="str">
            <v>Distribution</v>
          </cell>
          <cell r="H10" t="str">
            <v>Revenue cap</v>
          </cell>
          <cell r="I10" t="str">
            <v>Financial</v>
          </cell>
          <cell r="J10" t="str">
            <v>June</v>
          </cell>
          <cell r="K10">
            <v>5</v>
          </cell>
          <cell r="L10">
            <v>5</v>
          </cell>
          <cell r="M10">
            <v>5</v>
          </cell>
          <cell r="N10">
            <v>5</v>
          </cell>
          <cell r="O10" t="str">
            <v>570 George St</v>
          </cell>
          <cell r="Q10" t="str">
            <v>SYDNEY</v>
          </cell>
          <cell r="R10" t="str">
            <v>NSW</v>
          </cell>
          <cell r="T10" t="str">
            <v>GPO Box 4009</v>
          </cell>
          <cell r="V10" t="str">
            <v>SYDNEY</v>
          </cell>
          <cell r="W10" t="str">
            <v>NSW</v>
          </cell>
          <cell r="Y10" t="str">
            <v>YES</v>
          </cell>
          <cell r="Z10" t="str">
            <v>YES</v>
          </cell>
          <cell r="AA10" t="str">
            <v>YES</v>
          </cell>
          <cell r="AB10" t="str">
            <v>YES</v>
          </cell>
          <cell r="AC10" t="str">
            <v>NO</v>
          </cell>
          <cell r="AD10" t="str">
            <v>CBD</v>
          </cell>
          <cell r="AE10" t="str">
            <v>Urban</v>
          </cell>
          <cell r="AF10" t="str">
            <v>Short rural</v>
          </cell>
          <cell r="AG10" t="str">
            <v>Long rural</v>
          </cell>
          <cell r="AJ10" t="str">
            <v>YES</v>
          </cell>
        </row>
        <row r="11">
          <cell r="B11" t="str">
            <v>Ausgrid (Tx Assets)</v>
          </cell>
          <cell r="C11" t="str">
            <v>Ausgrid (Tx Assets)</v>
          </cell>
          <cell r="D11">
            <v>67505337385</v>
          </cell>
          <cell r="E11" t="str">
            <v>NSW</v>
          </cell>
          <cell r="F11" t="str">
            <v>Electricity</v>
          </cell>
          <cell r="G11" t="str">
            <v>Distribution</v>
          </cell>
          <cell r="H11" t="str">
            <v>Revenue cap</v>
          </cell>
          <cell r="I11" t="str">
            <v>Financial</v>
          </cell>
          <cell r="J11" t="str">
            <v>June</v>
          </cell>
          <cell r="K11">
            <v>5</v>
          </cell>
          <cell r="L11">
            <v>5</v>
          </cell>
          <cell r="M11">
            <v>5</v>
          </cell>
          <cell r="N11">
            <v>5</v>
          </cell>
          <cell r="O11" t="str">
            <v>570 George St</v>
          </cell>
          <cell r="Q11" t="str">
            <v>SYDNEY</v>
          </cell>
          <cell r="R11" t="str">
            <v>NSW</v>
          </cell>
          <cell r="T11" t="str">
            <v>GPO Box 4009</v>
          </cell>
          <cell r="V11" t="str">
            <v>SYDNEY</v>
          </cell>
          <cell r="W11" t="str">
            <v>NSW</v>
          </cell>
          <cell r="Y11" t="str">
            <v>YES</v>
          </cell>
          <cell r="Z11" t="str">
            <v>YES</v>
          </cell>
          <cell r="AA11" t="str">
            <v>YES</v>
          </cell>
          <cell r="AB11" t="str">
            <v>YES</v>
          </cell>
          <cell r="AC11" t="str">
            <v>NO</v>
          </cell>
          <cell r="AD11" t="str">
            <v>CBD</v>
          </cell>
          <cell r="AE11" t="str">
            <v>Urban</v>
          </cell>
          <cell r="AF11" t="str">
            <v>Short rural</v>
          </cell>
          <cell r="AG11" t="str">
            <v>Long rural</v>
          </cell>
          <cell r="AJ11" t="str">
            <v>NO</v>
          </cell>
        </row>
        <row r="12">
          <cell r="B12" t="str">
            <v>Australian Distribution Co.</v>
          </cell>
          <cell r="C12" t="str">
            <v>Australian Distribution Co.</v>
          </cell>
          <cell r="D12">
            <v>11222333444</v>
          </cell>
          <cell r="E12" t="str">
            <v>NSW</v>
          </cell>
          <cell r="F12" t="str">
            <v>Electricity</v>
          </cell>
          <cell r="G12" t="str">
            <v>Distribution</v>
          </cell>
          <cell r="H12" t="str">
            <v>Revenue cap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>
            <v>2</v>
          </cell>
          <cell r="O12" t="str">
            <v>123 Straight Street</v>
          </cell>
          <cell r="Q12" t="str">
            <v>SYDNEY</v>
          </cell>
          <cell r="R12" t="str">
            <v>NSW</v>
          </cell>
          <cell r="T12" t="str">
            <v>PO Box 123</v>
          </cell>
          <cell r="V12" t="str">
            <v>SYDNEY</v>
          </cell>
          <cell r="W12" t="str">
            <v>NSW</v>
          </cell>
          <cell r="Y12" t="str">
            <v>YES</v>
          </cell>
          <cell r="Z12" t="str">
            <v>YES</v>
          </cell>
          <cell r="AA12" t="str">
            <v>YES</v>
          </cell>
          <cell r="AB12" t="str">
            <v>YES</v>
          </cell>
          <cell r="AC12" t="str">
            <v>NO</v>
          </cell>
          <cell r="AD12" t="str">
            <v>CBD</v>
          </cell>
          <cell r="AE12" t="str">
            <v>Urban</v>
          </cell>
          <cell r="AF12" t="str">
            <v>Short rural</v>
          </cell>
          <cell r="AG12" t="str">
            <v>Long rural</v>
          </cell>
          <cell r="AJ12" t="str">
            <v>YES</v>
          </cell>
        </row>
        <row r="13">
          <cell r="B13" t="str">
            <v>Endeavour Energy</v>
          </cell>
          <cell r="C13" t="str">
            <v>Endeavour Energy</v>
          </cell>
          <cell r="D13">
            <v>11247365823</v>
          </cell>
          <cell r="E13" t="str">
            <v>NSW</v>
          </cell>
          <cell r="F13" t="str">
            <v>Electricity</v>
          </cell>
          <cell r="G13" t="str">
            <v>Distribution</v>
          </cell>
          <cell r="H13" t="str">
            <v>Revenue cap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>
            <v>5</v>
          </cell>
          <cell r="N13">
            <v>5</v>
          </cell>
          <cell r="O13" t="str">
            <v>51 Huntingwood Drive</v>
          </cell>
          <cell r="Q13" t="str">
            <v>HUNTINGWOOD</v>
          </cell>
          <cell r="R13" t="str">
            <v>NSW</v>
          </cell>
          <cell r="T13" t="str">
            <v>PO Box 811</v>
          </cell>
          <cell r="V13" t="str">
            <v>SEVEN HILLS</v>
          </cell>
          <cell r="W13" t="str">
            <v>NSW</v>
          </cell>
          <cell r="Y13" t="str">
            <v>NO</v>
          </cell>
          <cell r="Z13" t="str">
            <v>YES</v>
          </cell>
          <cell r="AA13" t="str">
            <v>YES</v>
          </cell>
          <cell r="AB13" t="str">
            <v>YES</v>
          </cell>
          <cell r="AC13" t="str">
            <v>NO</v>
          </cell>
          <cell r="AD13" t="str">
            <v>CBD</v>
          </cell>
          <cell r="AE13" t="str">
            <v>Urban</v>
          </cell>
          <cell r="AF13" t="str">
            <v>Short rural</v>
          </cell>
          <cell r="AG13" t="str">
            <v>Long rural</v>
          </cell>
          <cell r="AJ13" t="str">
            <v>YES</v>
          </cell>
        </row>
        <row r="14">
          <cell r="B14" t="str">
            <v>Essential Energy</v>
          </cell>
          <cell r="C14" t="str">
            <v>Essential Energy</v>
          </cell>
          <cell r="D14">
            <v>37428185226</v>
          </cell>
          <cell r="E14" t="str">
            <v>NSW</v>
          </cell>
          <cell r="F14" t="str">
            <v>Electricity</v>
          </cell>
          <cell r="G14" t="str">
            <v>Distribution</v>
          </cell>
          <cell r="H14" t="str">
            <v>Revenue cap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>
            <v>5</v>
          </cell>
          <cell r="N14">
            <v>5</v>
          </cell>
          <cell r="O14" t="str">
            <v>8 Buller Street</v>
          </cell>
          <cell r="Q14" t="str">
            <v>PORT MACQUARIE</v>
          </cell>
          <cell r="R14" t="str">
            <v>NSW</v>
          </cell>
          <cell r="T14" t="str">
            <v>PO Box 5730</v>
          </cell>
          <cell r="V14" t="str">
            <v>PORT MACQUARIE</v>
          </cell>
          <cell r="W14" t="str">
            <v>NSW</v>
          </cell>
          <cell r="Y14" t="str">
            <v>NO</v>
          </cell>
          <cell r="Z14" t="str">
            <v>YES</v>
          </cell>
          <cell r="AA14" t="str">
            <v>YES</v>
          </cell>
          <cell r="AB14" t="str">
            <v>YES</v>
          </cell>
          <cell r="AC14" t="str">
            <v>NO</v>
          </cell>
          <cell r="AD14" t="str">
            <v>CBD</v>
          </cell>
          <cell r="AE14" t="str">
            <v>Urban</v>
          </cell>
          <cell r="AF14" t="str">
            <v>Short rural</v>
          </cell>
          <cell r="AG14" t="str">
            <v>Long rural</v>
          </cell>
          <cell r="AJ14" t="str">
            <v>YES</v>
          </cell>
        </row>
        <row r="15">
          <cell r="B15" t="str">
            <v>Evoenergy Distribution</v>
          </cell>
          <cell r="C15" t="str">
            <v>Evoenergy Distribution</v>
          </cell>
          <cell r="D15">
            <v>76670568688</v>
          </cell>
          <cell r="E15" t="str">
            <v>ACT</v>
          </cell>
          <cell r="F15" t="str">
            <v>Electricity</v>
          </cell>
          <cell r="G15" t="str">
            <v>Distribution</v>
          </cell>
          <cell r="H15" t="str">
            <v>Revenue cap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40 Bunda Street</v>
          </cell>
          <cell r="Q15" t="str">
            <v>CANBERRA</v>
          </cell>
          <cell r="R15" t="str">
            <v>ACT</v>
          </cell>
          <cell r="T15" t="str">
            <v>GPO BOX 366</v>
          </cell>
          <cell r="V15" t="str">
            <v>CANBERRA</v>
          </cell>
          <cell r="W15" t="str">
            <v>ACT</v>
          </cell>
          <cell r="Y15" t="str">
            <v>NO</v>
          </cell>
          <cell r="Z15" t="str">
            <v>YES</v>
          </cell>
          <cell r="AA15" t="str">
            <v>YES</v>
          </cell>
          <cell r="AB15" t="str">
            <v>NO</v>
          </cell>
          <cell r="AC15" t="str">
            <v>NO</v>
          </cell>
          <cell r="AD15" t="str">
            <v>CBD</v>
          </cell>
          <cell r="AE15" t="str">
            <v>Urban</v>
          </cell>
          <cell r="AF15" t="str">
            <v>Short rural</v>
          </cell>
          <cell r="AG15" t="str">
            <v>Long rural</v>
          </cell>
          <cell r="AJ15" t="str">
            <v>NO</v>
          </cell>
        </row>
        <row r="16">
          <cell r="B16" t="str">
            <v>Evoenergy Distribution (Tx Assets)</v>
          </cell>
          <cell r="C16" t="str">
            <v>Evoenergy Distribution (Tx Assets)</v>
          </cell>
          <cell r="D16">
            <v>76670568688</v>
          </cell>
          <cell r="E16" t="str">
            <v>ACT</v>
          </cell>
          <cell r="F16" t="str">
            <v>Electricity</v>
          </cell>
          <cell r="G16" t="str">
            <v>Distribution</v>
          </cell>
          <cell r="H16" t="str">
            <v>Revenue cap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>
            <v>5</v>
          </cell>
          <cell r="N16">
            <v>5</v>
          </cell>
          <cell r="O16" t="str">
            <v>40 Bunda Street</v>
          </cell>
          <cell r="Q16" t="str">
            <v>CANBERRA</v>
          </cell>
          <cell r="R16" t="str">
            <v>ACT</v>
          </cell>
          <cell r="T16" t="str">
            <v>GPO BOX 366</v>
          </cell>
          <cell r="V16" t="str">
            <v>CANBERRA</v>
          </cell>
          <cell r="W16" t="str">
            <v>ACT</v>
          </cell>
          <cell r="Y16" t="str">
            <v>NO</v>
          </cell>
          <cell r="Z16" t="str">
            <v>YES</v>
          </cell>
          <cell r="AA16" t="str">
            <v>YES</v>
          </cell>
          <cell r="AB16" t="str">
            <v>NO</v>
          </cell>
          <cell r="AC16" t="str">
            <v>NO</v>
          </cell>
          <cell r="AD16" t="str">
            <v>CBD</v>
          </cell>
          <cell r="AE16" t="str">
            <v>Urban</v>
          </cell>
          <cell r="AF16" t="str">
            <v>Short rural</v>
          </cell>
          <cell r="AG16" t="str">
            <v>Long rural</v>
          </cell>
          <cell r="AJ16" t="str">
            <v>NO</v>
          </cell>
        </row>
        <row r="17">
          <cell r="B17" t="str">
            <v>Power and Water</v>
          </cell>
          <cell r="C17" t="str">
            <v>Power and Water Corporation</v>
          </cell>
          <cell r="D17">
            <v>15947352360</v>
          </cell>
          <cell r="E17" t="str">
            <v>NT</v>
          </cell>
          <cell r="F17" t="str">
            <v>Electricity</v>
          </cell>
          <cell r="G17" t="str">
            <v>Distribution</v>
          </cell>
          <cell r="H17" t="str">
            <v>Revenue cap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x</v>
          </cell>
          <cell r="O17" t="str">
            <v>GPO Box 1921</v>
          </cell>
          <cell r="Q17" t="str">
            <v>DARWIN</v>
          </cell>
          <cell r="R17" t="str">
            <v>NT</v>
          </cell>
          <cell r="T17" t="str">
            <v>GPO Box 1921</v>
          </cell>
          <cell r="V17" t="str">
            <v>DARWIN</v>
          </cell>
          <cell r="W17" t="str">
            <v>NT</v>
          </cell>
          <cell r="Y17" t="str">
            <v>YES</v>
          </cell>
          <cell r="Z17" t="str">
            <v>YES</v>
          </cell>
          <cell r="AA17" t="str">
            <v>YES</v>
          </cell>
          <cell r="AB17" t="str">
            <v>YES</v>
          </cell>
          <cell r="AC17" t="str">
            <v>NO</v>
          </cell>
          <cell r="AD17" t="str">
            <v>CBD</v>
          </cell>
          <cell r="AE17" t="str">
            <v>Urban</v>
          </cell>
          <cell r="AF17" t="str">
            <v>Short rural</v>
          </cell>
          <cell r="AG17" t="str">
            <v>Long rural</v>
          </cell>
          <cell r="AJ17" t="str">
            <v>NO</v>
          </cell>
        </row>
        <row r="18">
          <cell r="B18" t="str">
            <v>TasNetworks (D)</v>
          </cell>
          <cell r="C18" t="str">
            <v>TasNetworks (D)</v>
          </cell>
          <cell r="D18">
            <v>24167357299</v>
          </cell>
          <cell r="E18" t="str">
            <v>Tas</v>
          </cell>
          <cell r="F18" t="str">
            <v>Electricity</v>
          </cell>
          <cell r="G18" t="str">
            <v>Distribution</v>
          </cell>
          <cell r="H18" t="str">
            <v>Revenue cap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1-7 Maria Street</v>
          </cell>
          <cell r="Q18" t="str">
            <v>LENAH VALLEY</v>
          </cell>
          <cell r="R18" t="str">
            <v>Tas</v>
          </cell>
          <cell r="T18" t="str">
            <v>PO Box 606</v>
          </cell>
          <cell r="V18" t="str">
            <v>MOONAH</v>
          </cell>
          <cell r="W18" t="str">
            <v>Tas</v>
          </cell>
          <cell r="Y18" t="str">
            <v>YES</v>
          </cell>
          <cell r="Z18" t="str">
            <v>YES</v>
          </cell>
          <cell r="AA18" t="str">
            <v>YES</v>
          </cell>
          <cell r="AB18" t="str">
            <v>YES</v>
          </cell>
          <cell r="AC18" t="str">
            <v>YES</v>
          </cell>
          <cell r="AD18" t="str">
            <v>Critical Infrastructure</v>
          </cell>
          <cell r="AE18" t="str">
            <v>Urban</v>
          </cell>
          <cell r="AF18" t="str">
            <v>High density commercial</v>
          </cell>
          <cell r="AG18" t="str">
            <v>High density rural</v>
          </cell>
          <cell r="AH18" t="str">
            <v>Low density rural</v>
          </cell>
          <cell r="AJ18" t="str">
            <v>YES</v>
          </cell>
        </row>
        <row r="25">
          <cell r="B25" t="str">
            <v>ARR</v>
          </cell>
          <cell r="D25" t="str">
            <v>NEW HISTORICAL ANNUAL REPORTING</v>
          </cell>
          <cell r="E25">
            <v>1</v>
          </cell>
        </row>
        <row r="26">
          <cell r="B26" t="str">
            <v>CA</v>
          </cell>
          <cell r="D26" t="str">
            <v>NEW HISTORICAL CATEGORY ANALYSIS</v>
          </cell>
          <cell r="E26">
            <v>1</v>
          </cell>
        </row>
        <row r="27">
          <cell r="B27" t="str">
            <v>CESS</v>
          </cell>
          <cell r="D27" t="str">
            <v>CAPITLAL EXPENDITURE SHARING SCHEMING</v>
          </cell>
          <cell r="E27">
            <v>5</v>
          </cell>
        </row>
        <row r="28">
          <cell r="B28" t="str">
            <v>CPI</v>
          </cell>
          <cell r="D28" t="str">
            <v>CPI</v>
          </cell>
          <cell r="E28">
            <v>5</v>
          </cell>
        </row>
        <row r="29">
          <cell r="B29" t="str">
            <v>EB</v>
          </cell>
          <cell r="D29" t="str">
            <v>NEW HISTORICAL ECONOMIC BENCHMARKING</v>
          </cell>
          <cell r="E29">
            <v>1</v>
          </cell>
        </row>
        <row r="30">
          <cell r="B30" t="str">
            <v>EBSS</v>
          </cell>
          <cell r="D30" t="str">
            <v>EFFICIENCY BENEFIT SHARING SCHEME</v>
          </cell>
          <cell r="E30">
            <v>5</v>
          </cell>
        </row>
        <row r="31">
          <cell r="B31" t="str">
            <v>Pricing</v>
          </cell>
          <cell r="D31" t="str">
            <v>PRICING PROPOSAL</v>
          </cell>
          <cell r="E31">
            <v>5</v>
          </cell>
        </row>
        <row r="32">
          <cell r="B32" t="str">
            <v>Profitability</v>
          </cell>
          <cell r="D32" t="str">
            <v>PROFITABILITY</v>
          </cell>
          <cell r="E32">
            <v>5</v>
          </cell>
        </row>
        <row r="33">
          <cell r="B33" t="str">
            <v>PTRM</v>
          </cell>
          <cell r="D33" t="str">
            <v>POST TAX REVENUE MODEL</v>
          </cell>
          <cell r="E33">
            <v>5</v>
          </cell>
        </row>
        <row r="34">
          <cell r="B34" t="str">
            <v>Reset</v>
          </cell>
          <cell r="D34" t="str">
            <v>REGULATORY REPORTING STATEMENT</v>
          </cell>
          <cell r="E34">
            <v>5</v>
          </cell>
        </row>
        <row r="35">
          <cell r="B35" t="str">
            <v>RFM</v>
          </cell>
          <cell r="D35" t="str">
            <v>ROLL FORWARD MODEL</v>
          </cell>
          <cell r="E35">
            <v>5</v>
          </cell>
        </row>
        <row r="36">
          <cell r="B36" t="str">
            <v>WACC</v>
          </cell>
          <cell r="D36" t="str">
            <v>WEIGHTED AVERAGE COST OF CAPITAL</v>
          </cell>
          <cell r="E36">
            <v>1</v>
          </cell>
        </row>
        <row r="41">
          <cell r="E41" t="str">
            <v>2014-15</v>
          </cell>
          <cell r="G41" t="str">
            <v>2019-20</v>
          </cell>
        </row>
        <row r="42">
          <cell r="E42" t="str">
            <v>2015-16</v>
          </cell>
          <cell r="G42" t="str">
            <v>2020-21</v>
          </cell>
          <cell r="I42" t="str">
            <v>2025-26</v>
          </cell>
        </row>
        <row r="43">
          <cell r="E43" t="str">
            <v>2016-17</v>
          </cell>
          <cell r="G43" t="str">
            <v>2021-22</v>
          </cell>
          <cell r="I43" t="str">
            <v>2026-27</v>
          </cell>
        </row>
        <row r="44">
          <cell r="E44" t="str">
            <v>2017-18</v>
          </cell>
          <cell r="G44" t="str">
            <v>2022-23</v>
          </cell>
          <cell r="I44" t="str">
            <v>2027-28</v>
          </cell>
        </row>
        <row r="45">
          <cell r="E45" t="str">
            <v>2018-19</v>
          </cell>
          <cell r="G45" t="str">
            <v>2023-24</v>
          </cell>
          <cell r="I45" t="str">
            <v>2028-29</v>
          </cell>
        </row>
        <row r="46">
          <cell r="E46" t="str">
            <v>2019-20</v>
          </cell>
          <cell r="G46" t="str">
            <v>2024-25</v>
          </cell>
          <cell r="I46" t="str">
            <v>2029-30</v>
          </cell>
        </row>
        <row r="47">
          <cell r="E47" t="str">
            <v>2020-21</v>
          </cell>
          <cell r="G47" t="str">
            <v>2025-26</v>
          </cell>
          <cell r="I47" t="str">
            <v>2030-31</v>
          </cell>
        </row>
        <row r="48">
          <cell r="E48" t="str">
            <v>2021-22</v>
          </cell>
          <cell r="G48" t="str">
            <v>2026-27</v>
          </cell>
          <cell r="I48" t="str">
            <v>2031-32</v>
          </cell>
        </row>
        <row r="49">
          <cell r="E49" t="str">
            <v>2022-23</v>
          </cell>
          <cell r="G49" t="str">
            <v>2027-28</v>
          </cell>
          <cell r="I49" t="str">
            <v>2032-33</v>
          </cell>
        </row>
        <row r="50">
          <cell r="E50" t="str">
            <v>2023-24</v>
          </cell>
          <cell r="G50" t="str">
            <v>2028-29</v>
          </cell>
          <cell r="I50" t="str">
            <v>2033-34</v>
          </cell>
        </row>
        <row r="51">
          <cell r="E51" t="str">
            <v>2024-25</v>
          </cell>
          <cell r="G51" t="str">
            <v>2029-30</v>
          </cell>
          <cell r="I51" t="str">
            <v>2034-35</v>
          </cell>
        </row>
        <row r="52">
          <cell r="E52" t="str">
            <v>2025-26</v>
          </cell>
          <cell r="G52" t="str">
            <v>2030-31</v>
          </cell>
          <cell r="I52" t="str">
            <v>2035-36</v>
          </cell>
        </row>
        <row r="53">
          <cell r="E53" t="str">
            <v>2026-27</v>
          </cell>
          <cell r="G53" t="str">
            <v>2031-32</v>
          </cell>
          <cell r="I53" t="str">
            <v>2036-37</v>
          </cell>
        </row>
        <row r="54">
          <cell r="E54" t="str">
            <v>2027-28</v>
          </cell>
          <cell r="G54" t="str">
            <v>2032-33</v>
          </cell>
          <cell r="I54" t="str">
            <v>2037-38</v>
          </cell>
        </row>
        <row r="55">
          <cell r="E55" t="str">
            <v>2028-29</v>
          </cell>
          <cell r="G55" t="str">
            <v>2033-34</v>
          </cell>
          <cell r="I55" t="str">
            <v>2038-39</v>
          </cell>
        </row>
        <row r="76">
          <cell r="E76" t="str">
            <v>2014-15</v>
          </cell>
        </row>
        <row r="77">
          <cell r="E77" t="str">
            <v>2015-16</v>
          </cell>
        </row>
        <row r="78">
          <cell r="E78" t="str">
            <v>2016-17</v>
          </cell>
        </row>
        <row r="79">
          <cell r="E79" t="str">
            <v>2017-18</v>
          </cell>
        </row>
        <row r="80">
          <cell r="E80" t="str">
            <v>2018-19</v>
          </cell>
        </row>
        <row r="81">
          <cell r="E81" t="str">
            <v>2019-20</v>
          </cell>
        </row>
        <row r="82">
          <cell r="E82" t="str">
            <v>2020-21</v>
          </cell>
        </row>
        <row r="83">
          <cell r="E83" t="str">
            <v>2021-22</v>
          </cell>
        </row>
      </sheetData>
      <sheetData sheetId="12">
        <row r="11">
          <cell r="C11" t="str">
            <v>Ausgrid</v>
          </cell>
        </row>
        <row r="13">
          <cell r="C13" t="str">
            <v>CA</v>
          </cell>
        </row>
        <row r="22">
          <cell r="C22" t="str">
            <v>Electricity</v>
          </cell>
        </row>
        <row r="23">
          <cell r="C23" t="str">
            <v>Distribution</v>
          </cell>
        </row>
        <row r="25">
          <cell r="C25" t="str">
            <v>Financial</v>
          </cell>
        </row>
        <row r="26">
          <cell r="C26" t="str">
            <v>$0s</v>
          </cell>
        </row>
        <row r="31">
          <cell r="C31" t="str">
            <v>2014</v>
          </cell>
        </row>
        <row r="32">
          <cell r="C32" t="str">
            <v>June</v>
          </cell>
        </row>
        <row r="33">
          <cell r="C33" t="str">
            <v>June 2015</v>
          </cell>
        </row>
        <row r="34">
          <cell r="C34" t="str">
            <v>June 2019</v>
          </cell>
        </row>
        <row r="38">
          <cell r="C38" t="str">
            <v>2024-25</v>
          </cell>
        </row>
        <row r="39">
          <cell r="C39" t="str">
            <v>2014-15</v>
          </cell>
        </row>
        <row r="40">
          <cell r="C40">
            <v>28</v>
          </cell>
        </row>
        <row r="41">
          <cell r="C41">
            <v>38</v>
          </cell>
        </row>
        <row r="42">
          <cell r="C42">
            <v>33</v>
          </cell>
        </row>
        <row r="43">
          <cell r="C43">
            <v>28</v>
          </cell>
        </row>
        <row r="44">
          <cell r="C44">
            <v>42</v>
          </cell>
        </row>
        <row r="48">
          <cell r="C48" t="str">
            <v>2028-29</v>
          </cell>
        </row>
        <row r="49">
          <cell r="C49" t="str">
            <v>2023-24</v>
          </cell>
        </row>
        <row r="50">
          <cell r="C50" t="str">
            <v>2018-19</v>
          </cell>
        </row>
        <row r="51">
          <cell r="C51" t="str">
            <v>2028-29</v>
          </cell>
        </row>
        <row r="53">
          <cell r="C53" t="str">
            <v>2024</v>
          </cell>
        </row>
        <row r="54">
          <cell r="C54" t="str">
            <v>2019</v>
          </cell>
        </row>
        <row r="55">
          <cell r="C55" t="str">
            <v>2015</v>
          </cell>
        </row>
        <row r="56">
          <cell r="C56">
            <v>0</v>
          </cell>
        </row>
        <row r="57">
          <cell r="C57" t="str">
            <v>2022</v>
          </cell>
        </row>
        <row r="58">
          <cell r="C58">
            <v>1</v>
          </cell>
        </row>
        <row r="59">
          <cell r="C59" t="str">
            <v>2022</v>
          </cell>
        </row>
        <row r="61">
          <cell r="C61" t="str">
            <v>2014-15 to 2021-22</v>
          </cell>
        </row>
        <row r="62">
          <cell r="C62" t="str">
            <v>2014-15 to 2021-22</v>
          </cell>
        </row>
        <row r="64">
          <cell r="C64" t="str">
            <v>Yes</v>
          </cell>
        </row>
        <row r="65">
          <cell r="C65">
            <v>1</v>
          </cell>
        </row>
        <row r="66">
          <cell r="C66" t="str">
            <v>2021-22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4">
          <cell r="C74">
            <v>0</v>
          </cell>
        </row>
        <row r="75">
          <cell r="C75">
            <v>1</v>
          </cell>
        </row>
        <row r="76">
          <cell r="C76">
            <v>0</v>
          </cell>
        </row>
        <row r="77">
          <cell r="C77" t="str">
            <v>yes</v>
          </cell>
        </row>
        <row r="92">
          <cell r="C92" t="str">
            <v>no</v>
          </cell>
        </row>
        <row r="94">
          <cell r="C94" t="str">
            <v>6.3 not present</v>
          </cell>
        </row>
        <row r="100">
          <cell r="C100" t="str">
            <v>dms_LeapYear not present</v>
          </cell>
        </row>
        <row r="101">
          <cell r="C101">
            <v>1826</v>
          </cell>
        </row>
        <row r="102">
          <cell r="C102">
            <v>365</v>
          </cell>
        </row>
        <row r="108">
          <cell r="C108" t="str">
            <v>1-Jul-2014</v>
          </cell>
        </row>
        <row r="110">
          <cell r="C110" t="str">
            <v>NO</v>
          </cell>
        </row>
        <row r="114">
          <cell r="C114">
            <v>12</v>
          </cell>
        </row>
        <row r="115">
          <cell r="C115" t="str">
            <v>0</v>
          </cell>
        </row>
        <row r="127">
          <cell r="C127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3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Ausgrid Dx 2024-29 Draft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6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  <headerFooter>
    <oddFooter>&amp;L&amp;1#&amp;"Calibri"&amp;8&amp;K000000For Official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4" width="20.57031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Ausgrid Dx 2024-29 Draft Decision - Capital expenditure sharing scheme model</v>
      </c>
      <c r="F1" s="102"/>
      <c r="G1" s="103" t="s">
        <v>47</v>
      </c>
      <c r="H1" s="149" t="s">
        <v>48</v>
      </c>
      <c r="I1" s="152" t="s">
        <v>36</v>
      </c>
      <c r="J1" s="199" t="s">
        <v>107</v>
      </c>
      <c r="M1" s="104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68" customFormat="1" ht="11.25" customHeight="1">
      <c r="C6" s="67" t="s">
        <v>0</v>
      </c>
      <c r="D6" s="150" t="s">
        <v>105</v>
      </c>
      <c r="J6" s="77"/>
      <c r="K6" s="77"/>
      <c r="L6" s="77"/>
      <c r="M6" s="77"/>
    </row>
    <row r="7" spans="1:13" s="68" customFormat="1" ht="11.25" customHeight="1">
      <c r="C7" s="67" t="s">
        <v>88</v>
      </c>
      <c r="D7" s="203" t="s">
        <v>106</v>
      </c>
      <c r="I7" s="77"/>
      <c r="J7" s="77"/>
      <c r="K7" s="77"/>
      <c r="L7" s="77"/>
    </row>
    <row r="8" spans="1:13" s="68" customFormat="1" ht="11.25" customHeight="1">
      <c r="C8" s="67" t="s">
        <v>89</v>
      </c>
      <c r="D8" s="150" t="s">
        <v>101</v>
      </c>
      <c r="J8" s="77"/>
      <c r="K8" s="77"/>
      <c r="L8" s="77"/>
      <c r="M8" s="77"/>
    </row>
    <row r="9" spans="1:13" s="68" customFormat="1" ht="11.25" customHeight="1">
      <c r="C9" s="178" t="s">
        <v>99</v>
      </c>
      <c r="D9" s="150" t="s">
        <v>102</v>
      </c>
      <c r="J9" s="77"/>
      <c r="K9" s="77"/>
      <c r="L9" s="77"/>
      <c r="M9" s="77"/>
    </row>
    <row r="10" spans="1:13" s="68" customFormat="1" ht="11.25" customHeight="1">
      <c r="C10" s="67"/>
      <c r="J10" s="77"/>
      <c r="K10" s="77"/>
      <c r="L10" s="77"/>
      <c r="M10" s="77"/>
    </row>
    <row r="11" spans="1:13" s="68" customFormat="1" ht="11.25" customHeight="1">
      <c r="C11" s="129" t="s">
        <v>87</v>
      </c>
      <c r="J11" s="77"/>
      <c r="K11" s="77"/>
      <c r="L11" s="77"/>
      <c r="M11" s="77"/>
    </row>
    <row r="12" spans="1:13" s="68" customFormat="1" ht="11.25" customHeight="1">
      <c r="C12" s="67"/>
      <c r="D12" s="69" t="s">
        <v>63</v>
      </c>
      <c r="E12" s="69" t="s">
        <v>64</v>
      </c>
      <c r="F12" s="69" t="s">
        <v>65</v>
      </c>
      <c r="G12" s="69" t="s">
        <v>66</v>
      </c>
      <c r="H12" s="69" t="s">
        <v>67</v>
      </c>
      <c r="J12" s="77"/>
      <c r="K12" s="77"/>
      <c r="L12" s="77"/>
      <c r="M12" s="77"/>
    </row>
    <row r="13" spans="1:13" s="68" customFormat="1" ht="11.25" customHeight="1">
      <c r="C13" s="67" t="s">
        <v>61</v>
      </c>
      <c r="D13" s="177" t="str">
        <f t="shared" ref="D13:F13" si="0">IF(LEN(E13)&gt;4,CONCATENATE(LEFT(E13,4)-1&amp;"–"&amp;IF(RIGHT(E13,2)="00","99",IF(RIGHT(E13,2)-1&lt;10,"0","")&amp;RIGHT(E13,2)-1)),E13-1)</f>
        <v>2019–20</v>
      </c>
      <c r="E13" s="177" t="str">
        <f t="shared" si="0"/>
        <v>2020–21</v>
      </c>
      <c r="F13" s="177" t="str">
        <f t="shared" si="0"/>
        <v>2021–22</v>
      </c>
      <c r="G13" s="177" t="str">
        <f>IF(LEN(H13)&gt;4,CONCATENATE(LEFT(H13,4)-1&amp;"–"&amp;IF(RIGHT(H13,2)="00","99",IF(RIGHT(H13,2)-1&lt;10,"0","")&amp;RIGHT(H13,2)-1)),H13-1)</f>
        <v>2022–23</v>
      </c>
      <c r="H13" s="177" t="str">
        <f>IF(LEN(D9)&gt;4,CONCATENATE(LEFT(D9,4)-1&amp;"–"&amp;IF(RIGHT(D9,2)="00","99",IF(RIGHT(D9,2)-1&lt;10,"0","")&amp;RIGHT(D9,2)-1)),D9-1)</f>
        <v>2023–24</v>
      </c>
      <c r="J13" s="77"/>
      <c r="K13" s="77"/>
      <c r="L13" s="77"/>
      <c r="M13" s="77"/>
    </row>
    <row r="14" spans="1:13" s="68" customFormat="1" ht="11.25" customHeight="1">
      <c r="C14" s="67" t="s">
        <v>1</v>
      </c>
      <c r="D14" s="150" t="s">
        <v>8</v>
      </c>
      <c r="E14" s="150" t="s">
        <v>8</v>
      </c>
      <c r="F14" s="150" t="s">
        <v>8</v>
      </c>
      <c r="G14" s="150" t="s">
        <v>8</v>
      </c>
      <c r="H14" s="150" t="s">
        <v>8</v>
      </c>
      <c r="J14" s="77"/>
      <c r="K14" s="77"/>
      <c r="L14" s="77"/>
      <c r="M14" s="77"/>
    </row>
    <row r="15" spans="1:13" s="68" customFormat="1" ht="11.25" customHeight="1">
      <c r="C15" s="67" t="s">
        <v>2</v>
      </c>
      <c r="D15" s="150" t="s">
        <v>7</v>
      </c>
      <c r="E15" s="150" t="s">
        <v>7</v>
      </c>
      <c r="F15" s="150" t="s">
        <v>7</v>
      </c>
      <c r="G15" s="150" t="s">
        <v>29</v>
      </c>
      <c r="H15" s="150" t="s">
        <v>29</v>
      </c>
      <c r="J15" s="77"/>
      <c r="K15" s="77"/>
      <c r="L15" s="77"/>
      <c r="M15" s="77"/>
    </row>
    <row r="16" spans="1:13" s="68" customFormat="1" ht="11.25" customHeight="1">
      <c r="C16" s="67"/>
      <c r="D16" s="77"/>
      <c r="E16" s="77"/>
      <c r="F16" s="77"/>
      <c r="G16" s="77"/>
      <c r="H16" s="77"/>
      <c r="J16" s="77"/>
      <c r="K16" s="77"/>
      <c r="L16" s="77"/>
      <c r="M16" s="77"/>
    </row>
    <row r="17" spans="1:13" s="68" customFormat="1" ht="11.25" customHeight="1">
      <c r="C17" s="67"/>
      <c r="D17" s="69" t="s">
        <v>63</v>
      </c>
      <c r="E17" s="69" t="s">
        <v>64</v>
      </c>
      <c r="F17" s="69" t="s">
        <v>65</v>
      </c>
      <c r="G17" s="69" t="s">
        <v>66</v>
      </c>
      <c r="H17" s="69" t="s">
        <v>67</v>
      </c>
      <c r="J17" s="77"/>
      <c r="K17" s="77"/>
      <c r="L17" s="77"/>
      <c r="M17" s="77"/>
    </row>
    <row r="18" spans="1:13" s="68" customFormat="1" ht="11.25" customHeight="1">
      <c r="C18" s="67" t="s">
        <v>62</v>
      </c>
      <c r="D18" s="188" t="str">
        <f>D9</f>
        <v>2024-25</v>
      </c>
      <c r="E18" s="188" t="str">
        <f>IF(LEN(D18)&gt;4,CONCATENATE(LEFT(D18,4)+1&amp;"–"&amp;IF(RIGHT(D18,2)+1&gt;9,"","0")&amp;RIGHT(D18,2)+1),D18+1)</f>
        <v>2025–26</v>
      </c>
      <c r="F18" s="188" t="str">
        <f t="shared" ref="F18:H18" si="1">IF(LEN(E18)&gt;4,CONCATENATE(LEFT(E18,4)+1&amp;"–"&amp;IF(RIGHT(E18,2)+1&gt;9,"","0")&amp;RIGHT(E18,2)+1),E18+1)</f>
        <v>2026–27</v>
      </c>
      <c r="G18" s="188" t="str">
        <f t="shared" si="1"/>
        <v>2027–28</v>
      </c>
      <c r="H18" s="188" t="str">
        <f t="shared" si="1"/>
        <v>2028–29</v>
      </c>
      <c r="J18" s="77"/>
      <c r="K18" s="77"/>
      <c r="L18" s="77"/>
      <c r="M18" s="77"/>
    </row>
    <row r="19" spans="1:13" s="68" customFormat="1" ht="11.25" customHeight="1">
      <c r="C19" s="77"/>
      <c r="D19" s="77"/>
      <c r="E19" s="77"/>
      <c r="F19" s="77"/>
      <c r="G19" s="77"/>
      <c r="H19" s="77"/>
      <c r="J19" s="77"/>
      <c r="K19" s="77"/>
      <c r="L19" s="77"/>
      <c r="M19" s="77"/>
    </row>
    <row r="20" spans="1:13" s="68" customFormat="1" ht="11.25" customHeight="1">
      <c r="J20" s="77"/>
      <c r="K20" s="77"/>
      <c r="L20" s="77"/>
      <c r="M20" s="77"/>
    </row>
    <row r="21" spans="1:13" s="61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Ausgrid Dx 2024-29 Draft Decision - Capital expenditure sharing scheme model</v>
      </c>
      <c r="D1" s="12"/>
      <c r="E1" s="12"/>
      <c r="F1" s="12"/>
      <c r="G1" s="102"/>
      <c r="H1" s="103" t="s">
        <v>47</v>
      </c>
      <c r="I1" s="149" t="s">
        <v>48</v>
      </c>
      <c r="J1" s="152" t="s">
        <v>36</v>
      </c>
      <c r="K1" s="199" t="s">
        <v>107</v>
      </c>
      <c r="N1" s="104"/>
      <c r="O1" s="77"/>
      <c r="P1" s="77"/>
      <c r="Q1" s="77"/>
      <c r="R1" s="77"/>
      <c r="S1" s="77"/>
      <c r="T1" s="77"/>
    </row>
    <row r="2" spans="1:20" s="11" customFormat="1" ht="18" customHeight="1">
      <c r="C2" s="13" t="s">
        <v>90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79" customFormat="1" ht="12.75" customHeight="1">
      <c r="C4" s="29" t="s">
        <v>43</v>
      </c>
      <c r="D4" s="80"/>
      <c r="E4" s="80"/>
      <c r="F4" s="80"/>
      <c r="M4" s="81"/>
    </row>
    <row r="5" spans="1:20" ht="11.25" customHeight="1">
      <c r="A5" s="11"/>
      <c r="B5" s="11"/>
      <c r="C5" s="16"/>
      <c r="D5" s="77"/>
      <c r="E5" s="77"/>
      <c r="F5" s="77"/>
      <c r="N5" s="11"/>
    </row>
    <row r="6" spans="1:20" ht="11.25" customHeight="1">
      <c r="A6" s="11"/>
      <c r="B6" s="11"/>
      <c r="C6" s="16"/>
      <c r="D6" s="73" t="s">
        <v>6</v>
      </c>
      <c r="E6" s="73" t="s">
        <v>52</v>
      </c>
      <c r="F6" s="73"/>
      <c r="N6" s="11"/>
    </row>
    <row r="7" spans="1:20" ht="11.25" customHeight="1">
      <c r="A7" s="11"/>
      <c r="B7" s="11"/>
      <c r="C7" s="16"/>
      <c r="D7" s="77"/>
      <c r="E7" s="77"/>
      <c r="F7" s="165" t="str">
        <f>IF(LEN(G7)&gt;4,CONCATENATE(LEFT(G7,4)-1&amp;"–"&amp;IF(RIGHT(G7,2)="00","99",IF(RIGHT(G7,2)-1&lt;10,"0","")&amp;RIGHT(G7,2)-1)),G7-1)</f>
        <v>2018–19</v>
      </c>
      <c r="G7" s="164" t="str">
        <f>'Input | General'!D13</f>
        <v>2019–20</v>
      </c>
      <c r="H7" s="164" t="str">
        <f>'Input | General'!E13</f>
        <v>2020–21</v>
      </c>
      <c r="I7" s="164" t="str">
        <f>'Input | General'!F13</f>
        <v>2021–22</v>
      </c>
      <c r="J7" s="164" t="str">
        <f>'Input | General'!G13</f>
        <v>2022–23</v>
      </c>
      <c r="K7" s="164" t="str">
        <f>'Input | General'!H13</f>
        <v>2023–24</v>
      </c>
      <c r="L7" s="164" t="str">
        <f>'Input | General'!D18</f>
        <v>2024-25</v>
      </c>
      <c r="M7" s="164" t="str">
        <f>'Input | General'!E18</f>
        <v>2025–26</v>
      </c>
      <c r="N7" s="164" t="str">
        <f>'Input | General'!F18</f>
        <v>2026–27</v>
      </c>
      <c r="O7" s="164" t="str">
        <f>'Input | General'!G18</f>
        <v>2027–28</v>
      </c>
      <c r="P7" s="164" t="str">
        <f>'Input | General'!H18</f>
        <v>2028–29</v>
      </c>
    </row>
    <row r="8" spans="1:20" ht="11.25" customHeight="1">
      <c r="A8" s="11"/>
      <c r="B8" s="11"/>
      <c r="C8" s="78" t="s">
        <v>81</v>
      </c>
      <c r="D8" s="76" t="s">
        <v>100</v>
      </c>
      <c r="E8" s="76" t="s">
        <v>51</v>
      </c>
      <c r="F8" s="76"/>
      <c r="G8" s="187">
        <v>1.8404907975460016E-2</v>
      </c>
      <c r="H8" s="187">
        <v>8.6058519793459354E-3</v>
      </c>
      <c r="I8" s="187">
        <v>3.498293515358375E-2</v>
      </c>
      <c r="J8" s="187">
        <v>0.08</v>
      </c>
      <c r="K8" s="187">
        <v>4.7500000000000001E-2</v>
      </c>
      <c r="L8" s="84"/>
      <c r="M8" s="84"/>
      <c r="N8" s="84"/>
      <c r="O8" s="84"/>
      <c r="P8" s="84"/>
    </row>
    <row r="9" spans="1:20" ht="11.25" customHeight="1">
      <c r="A9" s="11"/>
      <c r="B9" s="11"/>
      <c r="C9" s="78" t="s">
        <v>82</v>
      </c>
      <c r="D9" s="76" t="s">
        <v>100</v>
      </c>
      <c r="E9" s="76" t="s">
        <v>51</v>
      </c>
      <c r="F9" s="76"/>
      <c r="G9" s="126"/>
      <c r="H9" s="126"/>
      <c r="I9" s="126"/>
      <c r="J9" s="126"/>
      <c r="K9" s="126"/>
      <c r="L9" s="187">
        <v>2.8746582610921667E-2</v>
      </c>
      <c r="M9" s="191">
        <f t="shared" ref="M9:P9" si="0">L9</f>
        <v>2.8746582610921667E-2</v>
      </c>
      <c r="N9" s="191">
        <f t="shared" si="0"/>
        <v>2.8746582610921667E-2</v>
      </c>
      <c r="O9" s="191">
        <f t="shared" si="0"/>
        <v>2.8746582610921667E-2</v>
      </c>
      <c r="P9" s="191">
        <f t="shared" si="0"/>
        <v>2.8746582610921667E-2</v>
      </c>
    </row>
    <row r="10" spans="1:20" ht="11.25" customHeight="1">
      <c r="A10" s="11"/>
      <c r="B10" s="11"/>
      <c r="C10" s="133" t="str">
        <f>"CPI Index (base year "&amp;F7&amp;")"</f>
        <v>CPI Index (base year 2018–19)</v>
      </c>
      <c r="D10" s="76" t="s">
        <v>100</v>
      </c>
      <c r="E10" s="76" t="s">
        <v>30</v>
      </c>
      <c r="F10" s="189">
        <v>1</v>
      </c>
      <c r="G10" s="190">
        <f>IF(G7&lt;&gt;"",(F10*(1+G8)),"")</f>
        <v>1.01840490797546</v>
      </c>
      <c r="H10" s="190">
        <f>IF(H7&lt;&gt;"",(G10*(1+H8)),"")</f>
        <v>1.0271691498685362</v>
      </c>
      <c r="I10" s="190">
        <f>IF(I7&lt;&gt;"",(H10*(1+I8)),"")</f>
        <v>1.0631025416301489</v>
      </c>
      <c r="J10" s="190">
        <f>IF(J7&lt;&gt;"",(I10*(1+J8)),"")</f>
        <v>1.148150744960561</v>
      </c>
      <c r="K10" s="190">
        <f>IF(K7&lt;&gt;"",(J10*(1+K8)),"")</f>
        <v>1.2026879053461879</v>
      </c>
      <c r="L10" s="190">
        <f t="shared" ref="L10:P10" si="1">IF(L7&lt;&gt;"",(K10*(1+L9)),"")</f>
        <v>1.2372610725723785</v>
      </c>
      <c r="M10" s="190">
        <f t="shared" si="1"/>
        <v>1.2728281002063579</v>
      </c>
      <c r="N10" s="190">
        <f t="shared" si="1"/>
        <v>1.3094175583384424</v>
      </c>
      <c r="O10" s="190">
        <f t="shared" si="1"/>
        <v>1.3470588383514097</v>
      </c>
      <c r="P10" s="190">
        <f t="shared" si="1"/>
        <v>1.3857821765298506</v>
      </c>
    </row>
    <row r="11" spans="1:20" ht="11.25" customHeight="1">
      <c r="A11" s="11"/>
      <c r="B11" s="11"/>
      <c r="C11" s="78"/>
      <c r="D11" s="76"/>
      <c r="E11" s="76"/>
      <c r="F11" s="76"/>
      <c r="G11" s="84"/>
      <c r="H11" s="84"/>
      <c r="I11" s="84"/>
      <c r="J11" s="84"/>
      <c r="K11" s="127"/>
      <c r="L11" s="127"/>
      <c r="M11" s="127"/>
      <c r="N11" s="127"/>
      <c r="O11" s="127"/>
      <c r="P11" s="127"/>
    </row>
    <row r="12" spans="1:20" ht="11.25" customHeight="1">
      <c r="A12" s="11"/>
      <c r="B12" s="11"/>
      <c r="C12" s="78"/>
      <c r="D12" s="76"/>
      <c r="E12" s="76"/>
      <c r="F12" s="76"/>
      <c r="G12" s="123"/>
      <c r="H12" s="123"/>
      <c r="I12" s="123"/>
      <c r="J12" s="123"/>
      <c r="K12" s="24"/>
      <c r="L12" s="24"/>
      <c r="M12" s="24"/>
    </row>
    <row r="13" spans="1:20" ht="11.25" customHeight="1">
      <c r="A13" s="11"/>
      <c r="B13" s="11"/>
      <c r="C13" s="78" t="s">
        <v>81</v>
      </c>
      <c r="D13" s="76" t="s">
        <v>49</v>
      </c>
      <c r="E13" s="76" t="s">
        <v>51</v>
      </c>
      <c r="F13" s="76"/>
      <c r="G13" s="200">
        <v>1.84049079754602E-2</v>
      </c>
      <c r="H13" s="187">
        <v>8.6058519793459354E-3</v>
      </c>
      <c r="I13" s="200">
        <v>3.49829351535835E-2</v>
      </c>
      <c r="J13" s="200">
        <v>7.8318219291014124E-2</v>
      </c>
      <c r="K13" s="200">
        <v>4.1000000000000002E-2</v>
      </c>
      <c r="L13" s="180"/>
      <c r="M13" s="180"/>
      <c r="N13" s="180"/>
      <c r="O13" s="180"/>
      <c r="P13" s="180"/>
    </row>
    <row r="14" spans="1:20" ht="11.25" customHeight="1">
      <c r="A14" s="11"/>
      <c r="B14" s="11"/>
      <c r="C14" s="78" t="s">
        <v>82</v>
      </c>
      <c r="D14" s="76" t="s">
        <v>49</v>
      </c>
      <c r="E14" s="76" t="s">
        <v>51</v>
      </c>
      <c r="F14" s="76"/>
      <c r="G14" s="84"/>
      <c r="H14" s="84"/>
      <c r="I14" s="84"/>
      <c r="J14" s="127"/>
      <c r="K14" s="127"/>
      <c r="L14" s="200">
        <v>2.7997811278454687E-2</v>
      </c>
      <c r="M14" s="191">
        <f t="shared" ref="M14:P14" si="2">L14</f>
        <v>2.7997811278454687E-2</v>
      </c>
      <c r="N14" s="191">
        <f t="shared" si="2"/>
        <v>2.7997811278454687E-2</v>
      </c>
      <c r="O14" s="191">
        <f t="shared" si="2"/>
        <v>2.7997811278454687E-2</v>
      </c>
      <c r="P14" s="191">
        <f t="shared" si="2"/>
        <v>2.7997811278454687E-2</v>
      </c>
    </row>
    <row r="15" spans="1:20" ht="11.25" customHeight="1">
      <c r="A15" s="11"/>
      <c r="B15" s="11"/>
      <c r="C15" s="133" t="str">
        <f>"CPI Index (base year "&amp;F7&amp;")"</f>
        <v>CPI Index (base year 2018–19)</v>
      </c>
      <c r="D15" s="76" t="s">
        <v>49</v>
      </c>
      <c r="E15" s="76" t="s">
        <v>30</v>
      </c>
      <c r="F15" s="189">
        <v>1</v>
      </c>
      <c r="G15" s="190">
        <f>IF(G7&lt;&gt;"",(F15*(1+G13)),"")</f>
        <v>1.0184049079754602</v>
      </c>
      <c r="H15" s="190">
        <f>IF(H7&lt;&gt;"",(G15*(1+H13)),"")</f>
        <v>1.0271691498685365</v>
      </c>
      <c r="I15" s="190">
        <f>IF(I7&lt;&gt;"",(H15*(1+I13)),"")</f>
        <v>1.0631025416301489</v>
      </c>
      <c r="J15" s="192">
        <f>IF(J7&lt;&gt;"",(I15*(1+J13)),"")</f>
        <v>1.1463628396143735</v>
      </c>
      <c r="K15" s="192">
        <f>IF(K7&lt;&gt;"",(J15*(1+K13)),"")</f>
        <v>1.1933637160385626</v>
      </c>
      <c r="L15" s="192">
        <f t="shared" ref="L15:P15" si="3">IF(L7&lt;&gt;"",(K15*(1+L14)),"")</f>
        <v>1.2267752881467657</v>
      </c>
      <c r="M15" s="192">
        <f t="shared" si="3"/>
        <v>1.2611223111453707</v>
      </c>
      <c r="N15" s="192">
        <f t="shared" si="3"/>
        <v>1.2964309756118673</v>
      </c>
      <c r="O15" s="192">
        <f t="shared" si="3"/>
        <v>1.3327282054025913</v>
      </c>
      <c r="P15" s="192">
        <f t="shared" si="3"/>
        <v>1.3700416781829265</v>
      </c>
    </row>
    <row r="16" spans="1:20" s="125" customFormat="1" ht="11.25" customHeight="1">
      <c r="A16" s="2"/>
      <c r="B16" s="2"/>
      <c r="C16" s="78"/>
      <c r="D16" s="124"/>
      <c r="E16" s="124"/>
      <c r="F16" s="124"/>
      <c r="G16" s="84"/>
      <c r="H16" s="84"/>
      <c r="I16" s="84"/>
      <c r="J16" s="127"/>
      <c r="K16" s="181"/>
      <c r="L16" s="181"/>
      <c r="M16" s="181"/>
      <c r="N16" s="181"/>
      <c r="O16" s="181"/>
      <c r="P16" s="181"/>
    </row>
    <row r="17" spans="1:16" s="79" customFormat="1" ht="12.75" customHeight="1">
      <c r="C17" s="29" t="s">
        <v>68</v>
      </c>
      <c r="D17" s="80"/>
      <c r="E17" s="80"/>
      <c r="F17" s="80"/>
      <c r="J17" s="182"/>
      <c r="K17" s="182"/>
      <c r="L17" s="182"/>
      <c r="M17" s="183"/>
      <c r="N17" s="182"/>
      <c r="O17" s="182"/>
      <c r="P17" s="182"/>
    </row>
    <row r="18" spans="1:16" ht="11.25" customHeight="1">
      <c r="A18" s="16"/>
      <c r="B18" s="77"/>
      <c r="C18" s="77"/>
      <c r="D18" s="77"/>
      <c r="E18" s="77"/>
      <c r="F18" s="73"/>
      <c r="J18" s="14"/>
      <c r="K18" s="14"/>
      <c r="L18" s="14"/>
      <c r="M18" s="184"/>
      <c r="N18" s="14"/>
      <c r="O18" s="185"/>
      <c r="P18" s="185"/>
    </row>
    <row r="19" spans="1:16" ht="11.25" customHeight="1">
      <c r="C19" s="16"/>
      <c r="D19" s="73" t="s">
        <v>6</v>
      </c>
      <c r="E19" s="73" t="s">
        <v>52</v>
      </c>
      <c r="F19" s="77"/>
      <c r="G19" s="164" t="str">
        <f>G7</f>
        <v>2019–20</v>
      </c>
      <c r="H19" s="164" t="str">
        <f t="shared" ref="H19:P19" si="4">H7</f>
        <v>2020–21</v>
      </c>
      <c r="I19" s="164" t="str">
        <f t="shared" si="4"/>
        <v>2021–22</v>
      </c>
      <c r="J19" s="186" t="str">
        <f t="shared" si="4"/>
        <v>2022–23</v>
      </c>
      <c r="K19" s="186" t="str">
        <f t="shared" si="4"/>
        <v>2023–24</v>
      </c>
      <c r="L19" s="186" t="str">
        <f t="shared" si="4"/>
        <v>2024-25</v>
      </c>
      <c r="M19" s="186" t="str">
        <f t="shared" si="4"/>
        <v>2025–26</v>
      </c>
      <c r="N19" s="186" t="str">
        <f t="shared" si="4"/>
        <v>2026–27</v>
      </c>
      <c r="O19" s="186" t="str">
        <f t="shared" si="4"/>
        <v>2027–28</v>
      </c>
      <c r="P19" s="186" t="str">
        <f t="shared" si="4"/>
        <v>2028–29</v>
      </c>
    </row>
    <row r="20" spans="1:16" ht="11.25" customHeight="1">
      <c r="C20" s="78" t="s">
        <v>10</v>
      </c>
      <c r="D20" s="76" t="s">
        <v>49</v>
      </c>
      <c r="E20" s="76" t="s">
        <v>51</v>
      </c>
      <c r="F20" s="77"/>
      <c r="G20" s="200">
        <v>3.2190287615159054E-2</v>
      </c>
      <c r="H20" s="187">
        <v>3.0060653438764226E-2</v>
      </c>
      <c r="I20" s="200">
        <v>2.7489978671470537E-2</v>
      </c>
      <c r="J20" s="200">
        <v>2.5667411537982687E-2</v>
      </c>
      <c r="K20" s="200">
        <v>2.5804932184953923E-2</v>
      </c>
      <c r="L20" s="127"/>
      <c r="M20" s="127"/>
      <c r="N20" s="127"/>
      <c r="O20" s="127"/>
      <c r="P20" s="127"/>
    </row>
    <row r="21" spans="1:16" ht="11.25" customHeight="1">
      <c r="C21" s="145" t="s">
        <v>95</v>
      </c>
      <c r="D21" s="76" t="s">
        <v>49</v>
      </c>
      <c r="E21" s="76" t="s">
        <v>51</v>
      </c>
      <c r="F21" s="77"/>
      <c r="G21" s="77"/>
      <c r="H21" s="77"/>
      <c r="I21" s="77"/>
      <c r="J21" s="77"/>
      <c r="K21" s="77"/>
      <c r="L21" s="200">
        <v>2.9686652634159573E-2</v>
      </c>
      <c r="M21" s="200">
        <v>3.0252574304980673E-2</v>
      </c>
      <c r="N21" s="200">
        <v>3.1073452419933867E-2</v>
      </c>
      <c r="O21" s="200">
        <v>3.19205893135436E-2</v>
      </c>
      <c r="P21" s="200">
        <v>3.2898708137506019E-2</v>
      </c>
    </row>
    <row r="22" spans="1:16" ht="11.25" customHeight="1">
      <c r="C22" s="78" t="s">
        <v>69</v>
      </c>
      <c r="D22" s="76" t="s">
        <v>60</v>
      </c>
      <c r="E22" s="76" t="s">
        <v>51</v>
      </c>
      <c r="F22" s="77"/>
      <c r="G22" s="193">
        <f>IF(AND(G13&lt;&gt;"",G20&lt;&gt;""),((1+G20)*(1+G13)-1),"")</f>
        <v>5.1187654871879706E-2</v>
      </c>
      <c r="H22" s="193">
        <f>IF(AND(H13&lt;&gt;"",H20&lt;&gt;""),((1+H20)*(1+H13)-1),"")</f>
        <v>3.8925202952006632E-2</v>
      </c>
      <c r="I22" s="193">
        <f>IF(AND(I13&lt;&gt;"",I20&lt;&gt;""),((1+I20)*(1+I13)-1),"")</f>
        <v>6.3434593966291697E-2</v>
      </c>
      <c r="J22" s="193">
        <f>IF(AND(J13&lt;&gt;"",J20&lt;&gt;""),((1+J20)*(1+J13)-1),"")</f>
        <v>0.10599585679446122</v>
      </c>
      <c r="K22" s="193">
        <f>IF(AND(K13&lt;&gt;"",K20&lt;&gt;""),((1+K20)*(1+K13)-1),"")</f>
        <v>6.7862934404536945E-2</v>
      </c>
      <c r="L22" s="193">
        <f>IF(AND(L14&lt;&gt;"",L21&lt;&gt;""),((1+L21)*(1+L14)-1),"")</f>
        <v>5.8515625210554312E-2</v>
      </c>
      <c r="M22" s="193">
        <f t="shared" ref="M22:P22" si="5">IF(AND(M14&lt;&gt;"",M21&lt;&gt;""),((1+M21)*(1+M14)-1),"")</f>
        <v>5.9097391449513648E-2</v>
      </c>
      <c r="N22" s="193">
        <f t="shared" si="5"/>
        <v>5.9941252355011798E-2</v>
      </c>
      <c r="O22" s="193">
        <f t="shared" si="5"/>
        <v>6.0812107227496082E-2</v>
      </c>
      <c r="P22" s="193">
        <f t="shared" si="5"/>
        <v>6.1817611237699577E-2</v>
      </c>
    </row>
    <row r="23" spans="1:16" ht="11.25" customHeight="1">
      <c r="A23" s="11"/>
      <c r="B23" s="11"/>
      <c r="C23" s="78"/>
      <c r="D23" s="76"/>
      <c r="E23" s="76"/>
      <c r="F23" s="77"/>
      <c r="G23" s="84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34</v>
      </c>
      <c r="D24" s="62"/>
      <c r="E24" s="62"/>
    </row>
    <row r="25" spans="1:16" ht="18" hidden="1" customHeight="1">
      <c r="G25" s="83"/>
      <c r="H25" s="83"/>
      <c r="I25" s="83"/>
      <c r="J25" s="83"/>
      <c r="K25" s="83"/>
      <c r="L25" s="83"/>
      <c r="M25" s="83"/>
    </row>
    <row r="26" spans="1:16" ht="18" hidden="1" customHeight="1">
      <c r="G26" s="83"/>
      <c r="H26" s="83"/>
      <c r="I26" s="83"/>
      <c r="J26" s="83"/>
      <c r="K26" s="83"/>
      <c r="L26" s="83"/>
      <c r="M26" s="83"/>
    </row>
    <row r="27" spans="1:16" ht="18" hidden="1" customHeight="1">
      <c r="G27" s="83"/>
      <c r="H27" s="83"/>
      <c r="I27" s="83"/>
      <c r="J27" s="83"/>
      <c r="K27" s="83"/>
      <c r="L27" s="83"/>
      <c r="M27" s="83"/>
    </row>
    <row r="28" spans="1:16" ht="18" hidden="1" customHeight="1">
      <c r="G28" s="83"/>
      <c r="H28" s="83"/>
      <c r="I28" s="83"/>
      <c r="J28" s="83"/>
      <c r="K28" s="83"/>
      <c r="L28" s="83"/>
      <c r="M28" s="83"/>
    </row>
    <row r="107" spans="13:16" ht="18" customHeight="1"/>
    <row r="108" spans="13:16" ht="18" customHeight="1">
      <c r="M108" s="11"/>
      <c r="N108" s="11"/>
      <c r="O108" s="11"/>
      <c r="P108" s="11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8"/>
  <sheetViews>
    <sheetView tabSelected="1"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15.8554687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Ausgrid Dx 2024-29 Draft Decision - Capital expenditure sharing scheme model</v>
      </c>
      <c r="D1" s="12"/>
      <c r="E1" s="12"/>
      <c r="F1" s="12"/>
      <c r="G1" s="12"/>
      <c r="H1" s="102"/>
      <c r="I1" s="103" t="s">
        <v>47</v>
      </c>
      <c r="J1" s="149" t="s">
        <v>48</v>
      </c>
      <c r="K1" s="152" t="s">
        <v>36</v>
      </c>
      <c r="L1" s="199" t="s">
        <v>107</v>
      </c>
    </row>
    <row r="2" spans="2:14" ht="18" customHeight="1">
      <c r="B2" s="13" t="s">
        <v>37</v>
      </c>
      <c r="D2" s="13"/>
      <c r="E2" s="22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6"/>
      <c r="E5" s="66"/>
      <c r="F5" s="66"/>
      <c r="G5" s="66"/>
    </row>
    <row r="6" spans="2:14" s="66" customFormat="1" ht="10.5" customHeight="1">
      <c r="D6" s="73" t="s">
        <v>6</v>
      </c>
      <c r="E6" s="73" t="s">
        <v>52</v>
      </c>
      <c r="F6" s="73" t="s">
        <v>4</v>
      </c>
      <c r="G6" s="63"/>
      <c r="H6" s="166" t="str">
        <f>IF('Input | General'!D14="Yes",'Input | General'!D13,"n/a")</f>
        <v>2019–20</v>
      </c>
      <c r="I6" s="166" t="str">
        <f>IF('Input | General'!E14="Yes",'Input | General'!E13,"n/a")</f>
        <v>2020–21</v>
      </c>
      <c r="J6" s="166" t="str">
        <f>IF('Input | General'!F14="Yes",'Input | General'!F13,"n/a")</f>
        <v>2021–22</v>
      </c>
      <c r="K6" s="166" t="str">
        <f>IF('Input | General'!G14="Yes",'Input | General'!G13,"n/a")</f>
        <v>2022–23</v>
      </c>
      <c r="L6" s="166" t="str">
        <f>IF('Input | General'!H14="Yes",'Input | General'!H13,"n/a")</f>
        <v>2023–24</v>
      </c>
      <c r="M6" s="105"/>
      <c r="N6" s="105"/>
    </row>
    <row r="7" spans="2:14" s="66" customFormat="1" ht="10.5" customHeight="1">
      <c r="M7" s="105"/>
      <c r="N7" s="105"/>
    </row>
    <row r="8" spans="2:14" ht="10.5" customHeight="1">
      <c r="C8" s="78" t="s">
        <v>3</v>
      </c>
      <c r="D8" s="76" t="s">
        <v>49</v>
      </c>
      <c r="E8" s="76" t="s">
        <v>50</v>
      </c>
      <c r="F8" s="168" t="str">
        <f>'Input | Inflation and Disc Rate'!$F$7</f>
        <v>2018–19</v>
      </c>
      <c r="G8" s="66"/>
      <c r="H8" s="201">
        <v>711.95449133019326</v>
      </c>
      <c r="I8" s="201">
        <v>614.13039943713557</v>
      </c>
      <c r="J8" s="201">
        <v>617.43692349835317</v>
      </c>
      <c r="K8" s="201">
        <v>560.64322420249187</v>
      </c>
      <c r="L8" s="201">
        <v>526.03054928737822</v>
      </c>
      <c r="M8" s="2"/>
      <c r="N8" s="2"/>
    </row>
    <row r="9" spans="2:14" ht="10.5" customHeight="1">
      <c r="C9" s="78" t="s">
        <v>97</v>
      </c>
      <c r="D9" s="76" t="s">
        <v>49</v>
      </c>
      <c r="E9" s="76" t="s">
        <v>50</v>
      </c>
      <c r="F9" s="168" t="str">
        <f>'Input | Inflation and Disc Rate'!$F$7</f>
        <v>2018–19</v>
      </c>
      <c r="G9" s="66"/>
      <c r="H9" s="151">
        <v>136.51077985565058</v>
      </c>
      <c r="I9" s="151">
        <v>117.86355771756919</v>
      </c>
      <c r="J9" s="151">
        <v>138.98041933948491</v>
      </c>
      <c r="K9" s="151">
        <v>132.7216221518392</v>
      </c>
      <c r="L9" s="151">
        <v>108.21008257669659</v>
      </c>
      <c r="M9" s="2"/>
      <c r="N9" s="2"/>
    </row>
    <row r="10" spans="2:14" ht="10.5" customHeight="1">
      <c r="C10" s="78" t="s">
        <v>91</v>
      </c>
      <c r="D10" s="76" t="s">
        <v>49</v>
      </c>
      <c r="E10" s="76" t="s">
        <v>50</v>
      </c>
      <c r="F10" s="168" t="str">
        <f>'Input | Inflation and Disc Rate'!$F$7</f>
        <v>2018–19</v>
      </c>
      <c r="G10" s="66"/>
      <c r="H10" s="151">
        <v>-0.29392127771647658</v>
      </c>
      <c r="I10" s="151">
        <v>3.078966643080955</v>
      </c>
      <c r="J10" s="151">
        <v>38.857945781664142</v>
      </c>
      <c r="K10" s="151">
        <v>1.117052597797132</v>
      </c>
      <c r="L10" s="151">
        <v>1.2705646615391197</v>
      </c>
      <c r="M10" s="2"/>
      <c r="N10" s="2"/>
    </row>
    <row r="11" spans="2:14" s="66" customFormat="1" ht="10.5" customHeight="1">
      <c r="H11" s="65"/>
      <c r="I11" s="65"/>
      <c r="J11" s="65"/>
      <c r="K11" s="65"/>
      <c r="L11" s="65"/>
      <c r="M11" s="105"/>
      <c r="N11" s="105"/>
    </row>
    <row r="12" spans="2:14" ht="10.5" customHeight="1">
      <c r="C12" s="75" t="s">
        <v>5</v>
      </c>
      <c r="D12" s="74" t="s">
        <v>60</v>
      </c>
      <c r="E12" s="167" t="s">
        <v>50</v>
      </c>
      <c r="F12" s="197" t="str">
        <f>'Input | Inflation and Disc Rate'!$F$7</f>
        <v>2018–19</v>
      </c>
      <c r="G12" s="66"/>
      <c r="H12" s="195">
        <f>IF(H6="", "", H8-H9-H10)</f>
        <v>575.73763275225906</v>
      </c>
      <c r="I12" s="195">
        <f t="shared" ref="I12:L12" si="0">IF(I6="", "", I8-I9-I10)</f>
        <v>493.18787507648545</v>
      </c>
      <c r="J12" s="195">
        <f t="shared" si="0"/>
        <v>439.59855837720409</v>
      </c>
      <c r="K12" s="195">
        <f t="shared" si="0"/>
        <v>426.80454945285555</v>
      </c>
      <c r="L12" s="195">
        <f t="shared" si="0"/>
        <v>416.54990204914247</v>
      </c>
      <c r="M12" s="2"/>
      <c r="N12" s="2"/>
    </row>
    <row r="13" spans="2:14" ht="10.5" customHeight="1">
      <c r="D13" s="66"/>
      <c r="E13" s="66"/>
      <c r="F13" s="66"/>
      <c r="G13" s="66"/>
      <c r="M13" s="70"/>
      <c r="N13" s="70"/>
    </row>
    <row r="14" spans="2:14" s="8" customFormat="1" ht="12.75" customHeight="1">
      <c r="B14" s="72" t="s">
        <v>41</v>
      </c>
      <c r="D14" s="18"/>
      <c r="E14" s="18"/>
      <c r="F14" s="18"/>
      <c r="G14" s="18"/>
    </row>
    <row r="15" spans="2:14" s="2" customFormat="1" ht="10.5" customHeight="1">
      <c r="B15" s="71"/>
      <c r="D15" s="21"/>
      <c r="E15" s="21"/>
      <c r="F15" s="21"/>
      <c r="G15" s="21"/>
    </row>
    <row r="16" spans="2:14" s="2" customFormat="1" ht="10.5" customHeight="1">
      <c r="B16" s="71"/>
      <c r="C16" s="66"/>
      <c r="D16" s="73" t="s">
        <v>6</v>
      </c>
      <c r="E16" s="73" t="s">
        <v>52</v>
      </c>
      <c r="F16" s="73" t="s">
        <v>4</v>
      </c>
      <c r="G16" s="63"/>
      <c r="H16" s="166" t="str">
        <f>H6</f>
        <v>2019–20</v>
      </c>
      <c r="I16" s="166" t="str">
        <f t="shared" ref="I16:L16" si="1">I6</f>
        <v>2020–21</v>
      </c>
      <c r="J16" s="166" t="str">
        <f t="shared" si="1"/>
        <v>2021–22</v>
      </c>
      <c r="K16" s="166" t="str">
        <f t="shared" si="1"/>
        <v>2022–23</v>
      </c>
      <c r="L16" s="166" t="str">
        <f t="shared" si="1"/>
        <v>2023–24</v>
      </c>
      <c r="M16" s="105"/>
      <c r="N16" s="105"/>
    </row>
    <row r="17" spans="2:14" s="2" customFormat="1" ht="10.5" customHeight="1">
      <c r="B17" s="71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5"/>
      <c r="N17" s="105"/>
    </row>
    <row r="18" spans="2:14" s="2" customFormat="1" ht="10.5" customHeight="1">
      <c r="B18" s="71"/>
      <c r="C18" s="78" t="s">
        <v>77</v>
      </c>
      <c r="D18" s="76" t="s">
        <v>49</v>
      </c>
      <c r="E18" s="76" t="s">
        <v>50</v>
      </c>
      <c r="F18" s="76" t="s">
        <v>53</v>
      </c>
      <c r="G18" s="66"/>
      <c r="H18" s="202">
        <v>614.0511479999999</v>
      </c>
      <c r="I18" s="202">
        <v>499.42426251000001</v>
      </c>
      <c r="J18" s="202">
        <v>594.73243459999992</v>
      </c>
      <c r="K18" s="198">
        <v>766.80315377425984</v>
      </c>
      <c r="L18" s="198">
        <v>759.63904229764773</v>
      </c>
    </row>
    <row r="19" spans="2:14" s="2" customFormat="1" ht="10.5" customHeight="1">
      <c r="B19" s="71"/>
      <c r="C19" s="78" t="s">
        <v>97</v>
      </c>
      <c r="D19" s="76" t="s">
        <v>49</v>
      </c>
      <c r="E19" s="76" t="s">
        <v>50</v>
      </c>
      <c r="F19" s="76" t="s">
        <v>53</v>
      </c>
      <c r="G19" s="135"/>
      <c r="H19" s="201">
        <v>121.975572</v>
      </c>
      <c r="I19" s="151">
        <v>115.24768558999999</v>
      </c>
      <c r="J19" s="151">
        <v>121.88192549</v>
      </c>
      <c r="K19" s="151">
        <v>147.03241686425969</v>
      </c>
      <c r="L19" s="151">
        <v>116.24125075764771</v>
      </c>
    </row>
    <row r="20" spans="2:14" s="2" customFormat="1" ht="10.5" customHeight="1">
      <c r="B20" s="71"/>
      <c r="C20" s="134" t="s">
        <v>91</v>
      </c>
      <c r="D20" s="76" t="s">
        <v>49</v>
      </c>
      <c r="E20" s="76" t="s">
        <v>50</v>
      </c>
      <c r="F20" s="76" t="s">
        <v>53</v>
      </c>
      <c r="G20" s="135"/>
      <c r="H20" s="204">
        <v>7.0168099999999995</v>
      </c>
      <c r="I20" s="201">
        <v>61.819630090000004</v>
      </c>
      <c r="J20" s="151">
        <v>343.40842665000002</v>
      </c>
      <c r="K20" s="201">
        <v>121.72496242945007</v>
      </c>
      <c r="L20" s="151">
        <v>3.0912447074969842</v>
      </c>
    </row>
    <row r="21" spans="2:14" s="2" customFormat="1" ht="10.5" customHeight="1">
      <c r="B21" s="71"/>
      <c r="C21" s="146" t="s">
        <v>96</v>
      </c>
      <c r="D21" s="76" t="s">
        <v>49</v>
      </c>
      <c r="E21" s="76" t="s">
        <v>50</v>
      </c>
      <c r="F21" s="76" t="s">
        <v>53</v>
      </c>
      <c r="G21" s="66"/>
      <c r="H21" s="202">
        <v>0</v>
      </c>
      <c r="I21" s="202">
        <v>0</v>
      </c>
      <c r="J21" s="202">
        <v>0</v>
      </c>
      <c r="K21" s="202">
        <v>0</v>
      </c>
      <c r="L21" s="202">
        <v>0</v>
      </c>
    </row>
    <row r="22" spans="2:14" s="2" customFormat="1" ht="10.5" customHeight="1">
      <c r="B22" s="71"/>
      <c r="C22" s="66"/>
      <c r="D22" s="66"/>
      <c r="E22" s="66"/>
      <c r="F22" s="66"/>
      <c r="G22" s="66"/>
      <c r="H22" s="65"/>
      <c r="I22" s="65"/>
      <c r="J22" s="65"/>
      <c r="K22" s="65"/>
      <c r="L22" s="65"/>
      <c r="M22" s="105"/>
      <c r="N22" s="105"/>
    </row>
    <row r="23" spans="2:14" s="2" customFormat="1" ht="10.5" customHeight="1">
      <c r="B23" s="71"/>
      <c r="C23" s="75" t="s">
        <v>76</v>
      </c>
      <c r="D23" s="74" t="s">
        <v>60</v>
      </c>
      <c r="E23" s="169" t="s">
        <v>50</v>
      </c>
      <c r="F23" s="169" t="s">
        <v>53</v>
      </c>
      <c r="G23" s="66"/>
      <c r="H23" s="195">
        <f>IF(H16="", "", H18-H19-H20-H21)</f>
        <v>485.05876599999988</v>
      </c>
      <c r="I23" s="195">
        <f t="shared" ref="I23:L23" si="2">IF(I16="", "", I18-I19-I20-I21)</f>
        <v>322.35694682999997</v>
      </c>
      <c r="J23" s="195">
        <f t="shared" si="2"/>
        <v>129.44208245999988</v>
      </c>
      <c r="K23" s="195">
        <f t="shared" si="2"/>
        <v>498.04577448054999</v>
      </c>
      <c r="L23" s="195">
        <f t="shared" si="2"/>
        <v>640.30654683250305</v>
      </c>
    </row>
    <row r="24" spans="2:14" s="2" customFormat="1" ht="10.5" customHeight="1">
      <c r="B24" s="71"/>
      <c r="D24" s="21"/>
      <c r="E24" s="21"/>
      <c r="F24" s="21"/>
      <c r="G24" s="21"/>
      <c r="M24" s="70"/>
      <c r="N24" s="70"/>
    </row>
    <row r="25" spans="2:14" s="8" customFormat="1" ht="12.75" customHeight="1">
      <c r="B25" s="72" t="s">
        <v>42</v>
      </c>
      <c r="D25" s="18"/>
      <c r="E25" s="18"/>
      <c r="F25" s="18"/>
      <c r="G25" s="18"/>
    </row>
    <row r="26" spans="2:14" ht="10.5" customHeight="1">
      <c r="D26" s="66"/>
      <c r="E26" s="66"/>
      <c r="F26" s="66"/>
      <c r="G26" s="66"/>
      <c r="M26" s="2"/>
      <c r="N26" s="2"/>
    </row>
    <row r="27" spans="2:14" ht="10.5" customHeight="1">
      <c r="D27" s="66"/>
      <c r="E27" s="66"/>
      <c r="F27" s="66"/>
      <c r="G27" s="66"/>
      <c r="H27" s="166" t="str">
        <f>'Input | General'!D18</f>
        <v>2024-25</v>
      </c>
      <c r="I27" s="166" t="str">
        <f>'Input | General'!E18</f>
        <v>2025–26</v>
      </c>
      <c r="J27" s="166" t="str">
        <f>'Input | General'!F18</f>
        <v>2026–27</v>
      </c>
      <c r="K27" s="166" t="str">
        <f>'Input | General'!G18</f>
        <v>2027–28</v>
      </c>
      <c r="L27" s="166" t="str">
        <f>'Input | General'!H18</f>
        <v>2028–29</v>
      </c>
      <c r="M27" s="2"/>
      <c r="N27" s="2"/>
    </row>
    <row r="28" spans="2:14" s="17" customFormat="1" ht="10.5" customHeight="1">
      <c r="C28" s="16"/>
      <c r="D28" s="66"/>
      <c r="E28" s="66"/>
      <c r="F28" s="66"/>
      <c r="G28" s="66"/>
      <c r="M28" s="19"/>
      <c r="N28" s="19"/>
    </row>
    <row r="29" spans="2:14" ht="11.25" customHeight="1">
      <c r="C29" s="82" t="s">
        <v>85</v>
      </c>
      <c r="D29" s="64" t="s">
        <v>100</v>
      </c>
      <c r="E29" s="76" t="s">
        <v>50</v>
      </c>
      <c r="F29" s="76" t="s">
        <v>103</v>
      </c>
      <c r="G29" s="66"/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2"/>
      <c r="N29" s="2"/>
    </row>
    <row r="30" spans="2:14" ht="11.25" customHeight="1">
      <c r="C30" s="82" t="s">
        <v>85</v>
      </c>
      <c r="D30" s="64" t="s">
        <v>60</v>
      </c>
      <c r="E30" s="76" t="s">
        <v>50</v>
      </c>
      <c r="F30" s="76" t="s">
        <v>104</v>
      </c>
      <c r="G30" s="66"/>
      <c r="H30" s="194">
        <f>IF(H29&lt;&gt;"",H29/('Input | Inflation and Disc Rate'!K10*(1+'Input | Inflation and Disc Rate'!L9)^0.5),"")</f>
        <v>0</v>
      </c>
      <c r="I30" s="194">
        <f>IF(I29&lt;&gt;"",I29/('Input | Inflation and Disc Rate'!L10*(1+'Input | Inflation and Disc Rate'!M9)^0.5),"")</f>
        <v>0</v>
      </c>
      <c r="J30" s="194">
        <f>IF(J29&lt;&gt;"",J29/('Input | Inflation and Disc Rate'!M10*(1+'Input | Inflation and Disc Rate'!N9)^0.5),"")</f>
        <v>0</v>
      </c>
      <c r="K30" s="194">
        <f>IF(K29&lt;&gt;"",K29/('Input | Inflation and Disc Rate'!N10*(1+'Input | Inflation and Disc Rate'!O9)^0.5),"")</f>
        <v>0</v>
      </c>
      <c r="L30" s="194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2" t="s">
        <v>85</v>
      </c>
      <c r="D31" s="64" t="s">
        <v>49</v>
      </c>
      <c r="E31" s="76" t="s">
        <v>50</v>
      </c>
      <c r="F31" s="76" t="s">
        <v>103</v>
      </c>
      <c r="G31" s="66"/>
      <c r="H31" s="194">
        <f>IF(H29&lt;&gt;"",H30*'Input | Inflation and Disc Rate'!K15*(1+'Input | Inflation and Disc Rate'!L14)^0.5,"")</f>
        <v>0</v>
      </c>
      <c r="I31" s="194">
        <f>IF(I29&lt;&gt;"",I30*'Input | Inflation and Disc Rate'!L15*(1+'Input | Inflation and Disc Rate'!M14)^0.5,"")</f>
        <v>0</v>
      </c>
      <c r="J31" s="194">
        <f>IF(J29&lt;&gt;"",J30*'Input | Inflation and Disc Rate'!M15*(1+'Input | Inflation and Disc Rate'!N14)^0.5,"")</f>
        <v>0</v>
      </c>
      <c r="K31" s="194">
        <f>IF(K29&lt;&gt;"",K30*'Input | Inflation and Disc Rate'!N15*(1+'Input | Inflation and Disc Rate'!O14)^0.5,"")</f>
        <v>0</v>
      </c>
      <c r="L31" s="194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6"/>
      <c r="E32" s="66"/>
      <c r="F32" s="66"/>
      <c r="G32" s="66"/>
      <c r="M32" s="70"/>
      <c r="N32" s="70"/>
    </row>
    <row r="33" spans="1:6" s="61" customFormat="1" ht="12.75" customHeight="1">
      <c r="A33" s="8"/>
      <c r="B33" s="29" t="s">
        <v>34</v>
      </c>
      <c r="D33" s="62"/>
      <c r="E33" s="62"/>
      <c r="F33" s="62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29:L29">
    <cfRule type="expression" dxfId="6" priority="9">
      <formula>IF($H$6&lt;&gt;"","FALSE","TRUE")</formula>
    </cfRule>
  </conditionalFormatting>
  <conditionalFormatting sqref="H8:H10 I8:L9">
    <cfRule type="expression" dxfId="5" priority="6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H18:L19">
    <cfRule type="expression" dxfId="3" priority="4">
      <formula>IF($H$6&lt;&gt;"","FALSE","TRUE")</formula>
    </cfRule>
  </conditionalFormatting>
  <conditionalFormatting sqref="H20">
    <cfRule type="expression" dxfId="2" priority="3">
      <formula>IF($H$6&lt;&gt;"","FALSE","TRUE")</formula>
    </cfRule>
  </conditionalFormatting>
  <conditionalFormatting sqref="I20:L20">
    <cfRule type="expression" dxfId="1" priority="2">
      <formula>IF($H$6&lt;&gt;"","FALSE","TRUE")</formula>
    </cfRule>
  </conditionalFormatting>
  <conditionalFormatting sqref="H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topLeftCell="A4"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Ausgrid Dx 2024-29 Draft Decision - Capital expenditure sharing scheme model</v>
      </c>
      <c r="J1" s="119"/>
      <c r="K1" s="103" t="s">
        <v>47</v>
      </c>
      <c r="L1" s="149" t="s">
        <v>48</v>
      </c>
      <c r="M1" s="152" t="s">
        <v>36</v>
      </c>
      <c r="N1"/>
      <c r="Q1" s="104"/>
      <c r="R1" s="77"/>
      <c r="S1" s="77"/>
      <c r="T1" s="77"/>
      <c r="U1" s="77"/>
      <c r="V1" s="77"/>
      <c r="W1" s="77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5"/>
      <c r="J5" s="85"/>
      <c r="K5" s="85"/>
      <c r="L5" s="85"/>
      <c r="M5" s="85"/>
      <c r="N5" s="85"/>
      <c r="O5" s="85"/>
    </row>
    <row r="6" spans="2:23" ht="11.25" customHeight="1">
      <c r="C6" s="115" t="s">
        <v>11</v>
      </c>
      <c r="D6" s="116"/>
      <c r="E6" s="117"/>
      <c r="F6" s="117"/>
      <c r="G6" s="117"/>
      <c r="H6" s="117"/>
      <c r="I6" s="94"/>
    </row>
    <row r="7" spans="2:23" ht="11.25" customHeight="1">
      <c r="C7" s="114" t="s">
        <v>9</v>
      </c>
      <c r="D7" s="166" t="str">
        <f>IF('Input | General'!D14="Yes",'Input | General'!D13,"n/a")</f>
        <v>2019–20</v>
      </c>
      <c r="E7" s="166" t="str">
        <f>IF('Input | General'!E14="Yes",'Input | General'!E13,"n/a")</f>
        <v>2020–21</v>
      </c>
      <c r="F7" s="166" t="str">
        <f>IF('Input | General'!F14="Yes",'Input | General'!F13,"n/a")</f>
        <v>2021–22</v>
      </c>
      <c r="G7" s="166" t="str">
        <f>IF('Input | General'!G14="Yes",'Input | General'!G13,"n/a")</f>
        <v>2022–23</v>
      </c>
      <c r="H7" s="170" t="str">
        <f>IF('Input | General'!H14="Yes",'Input | General'!H13,"n/a")</f>
        <v>2023–24</v>
      </c>
      <c r="I7" s="94"/>
    </row>
    <row r="8" spans="2:23" ht="11.25" customHeight="1">
      <c r="C8" s="136" t="s">
        <v>93</v>
      </c>
      <c r="D8" s="153">
        <f>'Input | Inflation and Disc Rate'!G20</f>
        <v>3.2190287615159054E-2</v>
      </c>
      <c r="E8" s="154">
        <f>'Input | Inflation and Disc Rate'!H20</f>
        <v>3.0060653438764226E-2</v>
      </c>
      <c r="F8" s="154">
        <f>'Input | Inflation and Disc Rate'!I20</f>
        <v>2.7489978671470537E-2</v>
      </c>
      <c r="G8" s="154">
        <f>'Input | Inflation and Disc Rate'!J20</f>
        <v>2.5667411537982687E-2</v>
      </c>
      <c r="H8" s="155">
        <f>'Input | Inflation and Disc Rate'!K20</f>
        <v>2.5804932184953923E-2</v>
      </c>
      <c r="I8" s="94"/>
      <c r="J8" s="77"/>
      <c r="K8" s="77"/>
    </row>
    <row r="9" spans="2:23" ht="11.25" customHeight="1">
      <c r="C9" s="139" t="s">
        <v>94</v>
      </c>
      <c r="D9" s="154">
        <f>'Input | Inflation and Disc Rate'!G22</f>
        <v>5.1187654871879706E-2</v>
      </c>
      <c r="E9" s="154">
        <f>'Input | Inflation and Disc Rate'!H22</f>
        <v>3.8925202952006632E-2</v>
      </c>
      <c r="F9" s="154">
        <f>'Input | Inflation and Disc Rate'!I22</f>
        <v>6.3434593966291697E-2</v>
      </c>
      <c r="G9" s="154">
        <f>'Input | Inflation and Disc Rate'!J22</f>
        <v>0.10599585679446122</v>
      </c>
      <c r="H9" s="155">
        <f>'Input | Inflation and Disc Rate'!K22</f>
        <v>6.7862934404536945E-2</v>
      </c>
      <c r="I9" s="94"/>
      <c r="J9" s="77"/>
      <c r="K9" s="77"/>
    </row>
    <row r="10" spans="2:23" ht="11.25" customHeight="1">
      <c r="C10" s="110" t="s">
        <v>13</v>
      </c>
      <c r="D10" s="156">
        <f>'Input | Reported Capex'!H$12*'Input | Inflation and Disc Rate'!G$15*(1+'Input | Inflation and Disc Rate'!G$20)^0.5</f>
        <v>595.69641377113578</v>
      </c>
      <c r="E10" s="157">
        <f>'Input | Reported Capex'!I$12*'Input | Inflation and Disc Rate'!H$15*(1+'Input | Inflation and Disc Rate'!H$20)^0.5</f>
        <v>514.14516653271028</v>
      </c>
      <c r="F10" s="157">
        <f>'Input | Reported Capex'!J$12*'Input | Inflation and Disc Rate'!I$15*(1+'Input | Inflation and Disc Rate'!I$20)^0.5</f>
        <v>473.71835594219908</v>
      </c>
      <c r="G10" s="157">
        <f>'Input | Reported Capex'!K$12*'Input | Inflation and Disc Rate'!J$15*(1+'Input | Inflation and Disc Rate'!J$20)^0.5</f>
        <v>495.5122757465162</v>
      </c>
      <c r="H10" s="158">
        <f>'Input | Reported Capex'!L$12*'Input | Inflation and Disc Rate'!K$15*(1+'Input | Inflation and Disc Rate'!K$20)^0.5</f>
        <v>503.46844611536716</v>
      </c>
      <c r="I10" s="94"/>
      <c r="J10" s="77"/>
      <c r="K10" s="77"/>
      <c r="N10" s="132"/>
    </row>
    <row r="11" spans="2:23" ht="11.25" customHeight="1">
      <c r="C11" s="110" t="s">
        <v>15</v>
      </c>
      <c r="D11" s="159">
        <f>'Input | Reported Capex'!H23*(1+D$9)^0.5</f>
        <v>497.31834936825788</v>
      </c>
      <c r="E11" s="157">
        <f>'Input | Reported Capex'!I23*(1+E$9)^0.5</f>
        <v>328.57095847722087</v>
      </c>
      <c r="F11" s="157">
        <f>'Input | Reported Capex'!J23*(1+F$9)^0.5</f>
        <v>133.48451357420899</v>
      </c>
      <c r="G11" s="157">
        <f>'Input | Reported Capex'!K23*(1+G$9)^0.5</f>
        <v>523.77650068148535</v>
      </c>
      <c r="H11" s="158">
        <f>'Input | Reported Capex'!L23*(1+H$9)^0.5</f>
        <v>661.67648158319639</v>
      </c>
      <c r="I11" s="94"/>
      <c r="J11" s="77"/>
      <c r="K11" s="77"/>
    </row>
    <row r="12" spans="2:23" s="19" customFormat="1" ht="11.25" customHeight="1">
      <c r="C12" s="110" t="s">
        <v>17</v>
      </c>
      <c r="D12" s="148">
        <f>(D10-D11)</f>
        <v>98.378064402877897</v>
      </c>
      <c r="E12" s="137">
        <f>(E10-E11)</f>
        <v>185.57420805548941</v>
      </c>
      <c r="F12" s="137">
        <f t="shared" ref="F12:H12" si="0">(F10-F11)</f>
        <v>340.23384236799006</v>
      </c>
      <c r="G12" s="137">
        <f t="shared" si="0"/>
        <v>-28.26422493496915</v>
      </c>
      <c r="H12" s="141">
        <f t="shared" si="0"/>
        <v>-158.20803546782923</v>
      </c>
      <c r="I12" s="94"/>
      <c r="J12" s="77"/>
      <c r="K12" s="77"/>
    </row>
    <row r="13" spans="2:23" ht="11.25" customHeight="1">
      <c r="C13" s="110" t="s">
        <v>71</v>
      </c>
      <c r="D13" s="86"/>
      <c r="E13" s="137">
        <f>$D$12*$E$8</f>
        <v>2.9573088999913399</v>
      </c>
      <c r="F13" s="137">
        <f>$D$12*$F$8*(1+'Input | Inflation and Disc Rate'!H13)</f>
        <v>2.7276846520050628</v>
      </c>
      <c r="G13" s="137">
        <f>$D$12*$G$8*(1+'Input | Inflation and Disc Rate'!H13)*(1+'Input | Inflation and Disc Rate'!I13)</f>
        <v>2.6359369637314995</v>
      </c>
      <c r="H13" s="141">
        <f>$D$12*$H$8*(1+'Input | Inflation and Disc Rate'!H13)*(1+'Input | Inflation and Disc Rate'!I13)*(1+'Input | Inflation and Disc Rate'!J13)</f>
        <v>2.8576077269944133</v>
      </c>
      <c r="I13" s="94"/>
      <c r="J13" s="77"/>
      <c r="K13" s="77"/>
      <c r="L13" s="93"/>
      <c r="M13" s="93"/>
      <c r="N13" s="93"/>
      <c r="O13" s="93"/>
    </row>
    <row r="14" spans="2:23" ht="11.25" customHeight="1">
      <c r="C14" s="110" t="s">
        <v>72</v>
      </c>
      <c r="D14" s="86"/>
      <c r="E14" s="138"/>
      <c r="F14" s="137">
        <f>$E$12*F$8</f>
        <v>5.1014310214204395</v>
      </c>
      <c r="G14" s="137">
        <f>$E$12*G$8*(1+'Input | Inflation and Disc Rate'!I13)</f>
        <v>4.9298406204705651</v>
      </c>
      <c r="H14" s="141">
        <f>$E$12*H$8*(1+'Input | Inflation and Disc Rate'!I13)*(1+'Input | Inflation and Disc Rate'!J13)</f>
        <v>5.3444186426844293</v>
      </c>
      <c r="I14" s="94"/>
      <c r="J14" s="77"/>
      <c r="K14" s="77"/>
      <c r="L14" s="93"/>
      <c r="M14" s="93"/>
      <c r="N14" s="94"/>
      <c r="O14" s="94"/>
    </row>
    <row r="15" spans="2:23" ht="11.25" customHeight="1">
      <c r="C15" s="110" t="s">
        <v>73</v>
      </c>
      <c r="D15" s="86"/>
      <c r="E15" s="137"/>
      <c r="F15" s="137"/>
      <c r="G15" s="137">
        <f>$F$12*G$8</f>
        <v>8.7329220512083303</v>
      </c>
      <c r="H15" s="141">
        <f>$F$12*$H$8*(1+'Input | Inflation and Disc Rate'!J13)</f>
        <v>9.4673225787029125</v>
      </c>
      <c r="I15" s="94"/>
      <c r="J15" s="77"/>
      <c r="K15" s="77"/>
      <c r="L15" s="93"/>
      <c r="M15" s="93"/>
      <c r="N15" s="93"/>
      <c r="O15" s="93"/>
    </row>
    <row r="16" spans="2:23" ht="11.25" customHeight="1">
      <c r="C16" s="110" t="s">
        <v>74</v>
      </c>
      <c r="D16" s="86"/>
      <c r="E16" s="137"/>
      <c r="F16" s="137"/>
      <c r="G16" s="137"/>
      <c r="H16" s="141">
        <f>$G$12*$H$8</f>
        <v>-0.72935640770716259</v>
      </c>
      <c r="I16" s="94"/>
      <c r="J16" s="77"/>
      <c r="K16" s="77"/>
      <c r="L16" s="93"/>
      <c r="M16" s="93"/>
      <c r="N16" s="93"/>
      <c r="O16" s="93"/>
    </row>
    <row r="17" spans="3:15" ht="11.25" customHeight="1">
      <c r="C17" s="110" t="s">
        <v>75</v>
      </c>
      <c r="D17" s="86"/>
      <c r="E17" s="137"/>
      <c r="F17" s="137"/>
      <c r="G17" s="137"/>
      <c r="H17" s="141"/>
      <c r="I17" s="94"/>
      <c r="J17" s="77"/>
      <c r="K17" s="77"/>
      <c r="L17" s="93"/>
      <c r="M17" s="93"/>
      <c r="N17" s="93"/>
      <c r="O17" s="93"/>
    </row>
    <row r="18" spans="3:15" s="19" customFormat="1" ht="11.25" customHeight="1">
      <c r="C18" s="111" t="s">
        <v>19</v>
      </c>
      <c r="D18" s="87">
        <f>SUM(D13:D17)</f>
        <v>0</v>
      </c>
      <c r="E18" s="142">
        <f>SUM(E13:E17)</f>
        <v>2.9573088999913399</v>
      </c>
      <c r="F18" s="142">
        <f t="shared" ref="F18:H18" si="1">SUM(F13:F17)</f>
        <v>7.8291156734255019</v>
      </c>
      <c r="G18" s="142">
        <f t="shared" si="1"/>
        <v>16.298699635410394</v>
      </c>
      <c r="H18" s="143">
        <f t="shared" si="1"/>
        <v>16.939992540674591</v>
      </c>
      <c r="I18" s="94"/>
      <c r="J18" s="77"/>
      <c r="K18" s="77"/>
      <c r="L18" s="93"/>
      <c r="M18" s="93"/>
      <c r="N18" s="93"/>
      <c r="O18" s="93"/>
    </row>
    <row r="19" spans="3:15" ht="11.25" customHeight="1">
      <c r="C19" s="112" t="s">
        <v>92</v>
      </c>
      <c r="D19" s="122">
        <f>E19*(1+E$9)</f>
        <v>1.3048604808093061</v>
      </c>
      <c r="E19" s="142">
        <f>F19*(1+F$9)</f>
        <v>1.2559715339484208</v>
      </c>
      <c r="F19" s="142">
        <f>G19*(1+G$9)</f>
        <v>1.1810519810757933</v>
      </c>
      <c r="G19" s="142">
        <f>H19*(1+H$9)</f>
        <v>1.0678629344045369</v>
      </c>
      <c r="H19" s="144">
        <v>1</v>
      </c>
      <c r="I19" s="94"/>
      <c r="J19" s="77"/>
      <c r="K19" s="77"/>
      <c r="L19" s="94"/>
      <c r="M19" s="94"/>
      <c r="N19" s="94"/>
      <c r="O19" s="94"/>
    </row>
    <row r="20" spans="3:15" s="19" customFormat="1" ht="11.25" customHeight="1">
      <c r="C20" s="110" t="s">
        <v>20</v>
      </c>
      <c r="D20" s="86">
        <f>D12*D19</f>
        <v>128.36964841782813</v>
      </c>
      <c r="E20" s="137">
        <f>E12*E19</f>
        <v>233.07592275271642</v>
      </c>
      <c r="F20" s="137">
        <f t="shared" ref="F20:H20" si="2">F12*F19</f>
        <v>401.83385355774385</v>
      </c>
      <c r="G20" s="137">
        <f t="shared" si="2"/>
        <v>-30.182318177726039</v>
      </c>
      <c r="H20" s="141">
        <f t="shared" si="2"/>
        <v>-158.20803546782923</v>
      </c>
      <c r="I20" s="94"/>
      <c r="J20" s="77"/>
      <c r="K20" s="77"/>
      <c r="L20" s="94"/>
      <c r="M20" s="94"/>
      <c r="N20" s="94"/>
      <c r="O20" s="94"/>
    </row>
    <row r="21" spans="3:15" s="19" customFormat="1" ht="11.25" customHeight="1">
      <c r="C21" s="111" t="s">
        <v>21</v>
      </c>
      <c r="D21" s="87">
        <f>D18*D19</f>
        <v>0</v>
      </c>
      <c r="E21" s="142">
        <f>E18*E19</f>
        <v>3.7142957954814402</v>
      </c>
      <c r="F21" s="142">
        <f t="shared" ref="F21:H21" si="3">F18*F19</f>
        <v>9.2465925761707322</v>
      </c>
      <c r="G21" s="142">
        <f t="shared" si="3"/>
        <v>17.404777219647499</v>
      </c>
      <c r="H21" s="143">
        <f t="shared" si="3"/>
        <v>16.939992540674591</v>
      </c>
      <c r="I21" s="94"/>
      <c r="J21" s="77"/>
      <c r="K21" s="77"/>
      <c r="L21" s="94"/>
      <c r="M21" s="94"/>
      <c r="N21" s="94"/>
      <c r="O21" s="94"/>
    </row>
    <row r="22" spans="3:15" s="77" customFormat="1" ht="11.25" customHeight="1"/>
    <row r="23" spans="3:15" ht="11.25" customHeight="1">
      <c r="C23" s="115" t="s">
        <v>12</v>
      </c>
      <c r="D23" s="116"/>
      <c r="E23" s="117"/>
      <c r="F23" s="117"/>
      <c r="G23" s="117"/>
      <c r="H23" s="117"/>
      <c r="I23" s="94"/>
      <c r="J23" s="77"/>
      <c r="K23" s="77"/>
      <c r="L23" s="94"/>
      <c r="M23" s="94"/>
      <c r="N23" s="94"/>
      <c r="O23" s="94"/>
    </row>
    <row r="24" spans="3:15" ht="11.25" customHeight="1">
      <c r="C24" s="109" t="s">
        <v>9</v>
      </c>
      <c r="D24" s="171" t="str">
        <f>'Input | General'!$D$18</f>
        <v>2024-25</v>
      </c>
      <c r="E24" s="171" t="str">
        <f>'Input | General'!$E$18</f>
        <v>2025–26</v>
      </c>
      <c r="F24" s="171" t="str">
        <f>'Input | General'!$F$18</f>
        <v>2026–27</v>
      </c>
      <c r="G24" s="171" t="str">
        <f>'Input | General'!$G$18</f>
        <v>2027–28</v>
      </c>
      <c r="H24" s="172" t="str">
        <f>'Input | General'!$H$18</f>
        <v>2028–29</v>
      </c>
      <c r="I24" s="94"/>
      <c r="J24" s="77"/>
      <c r="K24" s="77"/>
      <c r="L24" s="94"/>
      <c r="M24" s="94"/>
      <c r="N24" s="94"/>
      <c r="O24" s="94"/>
    </row>
    <row r="25" spans="3:15" ht="11.25" customHeight="1">
      <c r="C25" s="113" t="s">
        <v>70</v>
      </c>
      <c r="D25" s="160">
        <f>'Input | Inflation and Disc Rate'!L$22</f>
        <v>5.8515625210554312E-2</v>
      </c>
      <c r="E25" s="160">
        <f>'Input | Inflation and Disc Rate'!M$22</f>
        <v>5.9097391449513648E-2</v>
      </c>
      <c r="F25" s="160">
        <f>'Input | Inflation and Disc Rate'!N$22</f>
        <v>5.9941252355011798E-2</v>
      </c>
      <c r="G25" s="160">
        <f>'Input | Inflation and Disc Rate'!O$22</f>
        <v>6.0812107227496082E-2</v>
      </c>
      <c r="H25" s="161">
        <f>'Input | Inflation and Disc Rate'!P$22</f>
        <v>6.1817611237699577E-2</v>
      </c>
      <c r="I25" s="94"/>
      <c r="J25" s="77"/>
      <c r="K25" s="77"/>
      <c r="L25" s="94"/>
      <c r="M25" s="94"/>
      <c r="N25" s="94"/>
      <c r="O25" s="94"/>
    </row>
    <row r="26" spans="3:15" ht="11.25" customHeight="1">
      <c r="C26" s="114" t="s">
        <v>14</v>
      </c>
      <c r="D26" s="157">
        <f>'Input | Reported Capex'!H31</f>
        <v>0</v>
      </c>
      <c r="E26" s="157">
        <f>'Input | Reported Capex'!I31</f>
        <v>0</v>
      </c>
      <c r="F26" s="157">
        <f>'Input | Reported Capex'!J31</f>
        <v>0</v>
      </c>
      <c r="G26" s="157">
        <f>'Input | Reported Capex'!K31</f>
        <v>0</v>
      </c>
      <c r="H26" s="158">
        <f>'Input | Reported Capex'!L31</f>
        <v>0</v>
      </c>
      <c r="I26" s="94"/>
      <c r="J26" s="77"/>
      <c r="K26" s="77"/>
      <c r="L26" s="94"/>
      <c r="M26" s="94"/>
      <c r="N26" s="94"/>
      <c r="O26" s="94"/>
    </row>
    <row r="27" spans="3:15" ht="11.25" customHeight="1">
      <c r="C27" s="114" t="s">
        <v>16</v>
      </c>
      <c r="D27" s="120">
        <f>1/(1+D25)^(0.5)</f>
        <v>0.97196664926236809</v>
      </c>
      <c r="E27" s="120">
        <f>1/((1+E25)^(0.5)*(1+D25))</f>
        <v>0.91798329373232002</v>
      </c>
      <c r="F27" s="120">
        <f>1/((1+F25)^(0.5)*(1+E25)*(1+D25))</f>
        <v>0.86641493698641026</v>
      </c>
      <c r="G27" s="120">
        <f>1/((1+G25)^(0.5)*(1+F25)*(1+E25)*(1+D25))</f>
        <v>0.81708229400592702</v>
      </c>
      <c r="H27" s="121">
        <f>1/((1+H25)^(0.5)*(1+G25)*(1+F25)*(1+E25)*(1+D25))</f>
        <v>0.76987745773445249</v>
      </c>
      <c r="I27" s="94"/>
      <c r="J27" s="77"/>
      <c r="K27" s="77"/>
      <c r="L27" s="94"/>
      <c r="M27" s="94"/>
      <c r="N27" s="94"/>
      <c r="O27" s="94"/>
    </row>
    <row r="28" spans="3:15" ht="11.25" customHeight="1">
      <c r="C28" s="109" t="s">
        <v>18</v>
      </c>
      <c r="D28" s="88">
        <f>D26*D27</f>
        <v>0</v>
      </c>
      <c r="E28" s="88">
        <f t="shared" ref="E28:G28" si="4">E26*E27</f>
        <v>0</v>
      </c>
      <c r="F28" s="88">
        <f t="shared" si="4"/>
        <v>0</v>
      </c>
      <c r="G28" s="88">
        <f t="shared" si="4"/>
        <v>0</v>
      </c>
      <c r="H28" s="89">
        <f>H26*H27</f>
        <v>0</v>
      </c>
      <c r="I28" s="94"/>
      <c r="J28" s="77"/>
      <c r="K28" s="77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7"/>
      <c r="K29" s="77"/>
      <c r="L29" s="94"/>
      <c r="M29" s="94"/>
      <c r="N29" s="94"/>
      <c r="O29" s="94"/>
    </row>
    <row r="30" spans="3:15" ht="11.25" customHeight="1">
      <c r="C30" s="108" t="s">
        <v>22</v>
      </c>
      <c r="D30" s="118"/>
      <c r="E30" s="93"/>
      <c r="F30" s="93"/>
      <c r="G30" s="93"/>
      <c r="H30" s="93"/>
      <c r="I30" s="94"/>
      <c r="J30" s="77"/>
      <c r="K30" s="77"/>
      <c r="L30" s="94"/>
      <c r="M30" s="94"/>
      <c r="N30" s="94"/>
      <c r="O30" s="94"/>
    </row>
    <row r="31" spans="3:15" ht="11.25" customHeight="1">
      <c r="C31" s="110" t="s">
        <v>23</v>
      </c>
      <c r="D31" s="99">
        <f>SUM(D20:H20)-SUM(D28:H28)</f>
        <v>574.88907108273315</v>
      </c>
      <c r="E31" s="93"/>
      <c r="F31" s="93"/>
      <c r="G31" s="93"/>
      <c r="H31" s="93"/>
      <c r="I31" s="94"/>
      <c r="J31" s="77"/>
      <c r="K31" s="77"/>
      <c r="L31" s="94"/>
      <c r="M31" s="94"/>
      <c r="N31" s="94"/>
      <c r="O31" s="94"/>
    </row>
    <row r="32" spans="3:15" ht="11.25" customHeight="1">
      <c r="C32" s="110" t="s">
        <v>24</v>
      </c>
      <c r="D32" s="98">
        <v>0.3</v>
      </c>
      <c r="E32" s="93"/>
      <c r="F32" s="93"/>
      <c r="G32" s="93"/>
      <c r="H32" s="93"/>
      <c r="I32" s="94"/>
      <c r="J32" s="77"/>
      <c r="K32" s="77"/>
      <c r="L32" s="94"/>
      <c r="M32" s="94"/>
      <c r="N32" s="94"/>
      <c r="O32" s="94"/>
    </row>
    <row r="33" spans="1:16382" ht="11.25" customHeight="1">
      <c r="C33" s="110" t="s">
        <v>25</v>
      </c>
      <c r="D33" s="99">
        <f>(1-D32)*D31</f>
        <v>402.4223497579132</v>
      </c>
      <c r="E33" s="93"/>
      <c r="F33" s="93"/>
      <c r="G33" s="93"/>
      <c r="H33" s="93"/>
      <c r="I33" s="94"/>
      <c r="J33" s="77"/>
      <c r="K33" s="77"/>
      <c r="L33" s="94"/>
      <c r="M33" s="94"/>
      <c r="N33" s="94"/>
      <c r="O33" s="94"/>
    </row>
    <row r="34" spans="1:16382" ht="11.25" customHeight="1">
      <c r="C34" s="110" t="s">
        <v>26</v>
      </c>
      <c r="D34" s="99">
        <f>D32*D31</f>
        <v>172.46672132481993</v>
      </c>
      <c r="E34" s="93"/>
      <c r="F34" s="93"/>
      <c r="G34" s="93"/>
      <c r="H34" s="93"/>
      <c r="I34" s="94"/>
      <c r="J34" s="77"/>
      <c r="K34" s="77"/>
      <c r="L34" s="94"/>
      <c r="M34" s="94"/>
      <c r="N34" s="94"/>
      <c r="O34" s="94"/>
    </row>
    <row r="35" spans="1:16382" ht="11.25" customHeight="1">
      <c r="C35" s="110" t="s">
        <v>27</v>
      </c>
      <c r="D35" s="99">
        <f>SUM(D21:H21)</f>
        <v>47.305658131974269</v>
      </c>
      <c r="E35" s="93"/>
      <c r="F35" s="93"/>
      <c r="G35" s="93"/>
      <c r="H35" s="93"/>
      <c r="I35" s="94"/>
      <c r="J35" s="77"/>
      <c r="K35" s="77"/>
      <c r="L35" s="94"/>
      <c r="M35" s="94"/>
      <c r="N35" s="94"/>
      <c r="O35" s="94"/>
    </row>
    <row r="36" spans="1:16382" ht="11.25" customHeight="1">
      <c r="C36" s="111" t="s">
        <v>28</v>
      </c>
      <c r="D36" s="100">
        <f>D34-D35</f>
        <v>125.16106319284566</v>
      </c>
      <c r="E36" s="93"/>
      <c r="F36" s="93"/>
      <c r="G36" s="93"/>
      <c r="H36" s="93"/>
      <c r="I36" s="94"/>
      <c r="J36" s="77"/>
      <c r="K36" s="77"/>
      <c r="L36" s="94"/>
      <c r="M36" s="94"/>
      <c r="N36" s="94"/>
      <c r="O36" s="94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0"/>
      <c r="D40" s="173" t="str">
        <f>'Input | General'!D18</f>
        <v>2024-25</v>
      </c>
      <c r="E40" s="173" t="str">
        <f>'Input | General'!E18</f>
        <v>2025–26</v>
      </c>
      <c r="F40" s="173" t="str">
        <f>'Input | General'!F18</f>
        <v>2026–27</v>
      </c>
      <c r="G40" s="173" t="str">
        <f>'Input | General'!G18</f>
        <v>2027–28</v>
      </c>
      <c r="H40" s="173" t="str">
        <f>'Input | General'!H18</f>
        <v>2028–29</v>
      </c>
      <c r="I40" s="91"/>
      <c r="J40" s="91"/>
      <c r="K40" s="91"/>
      <c r="L40" s="91"/>
      <c r="M40" s="91"/>
      <c r="N40" s="91"/>
      <c r="O40" s="91"/>
    </row>
    <row r="41" spans="1:16382" s="30" customFormat="1" ht="11.25" customHeight="1">
      <c r="C41" s="97" t="s">
        <v>98</v>
      </c>
      <c r="D41" s="162">
        <f>1/(1+'Input | Inflation and Disc Rate'!L21)</f>
        <v>0.97116923623491214</v>
      </c>
      <c r="E41" s="162">
        <f>D41/(1+'Input | Inflation and Disc Rate'!M21)</f>
        <v>0.94265159870148663</v>
      </c>
      <c r="F41" s="162">
        <f>E41/(1+'Input | Inflation and Disc Rate'!N21)</f>
        <v>0.91424291498251575</v>
      </c>
      <c r="G41" s="162">
        <f>F41/(1+'Input | Inflation and Disc Rate'!O21)</f>
        <v>0.88596247080474499</v>
      </c>
      <c r="H41" s="163">
        <f>G41/(1+'Input | Inflation and Disc Rate'!P21)</f>
        <v>0.85774380762106639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179" t="str">
        <f>CONCATENATE("CESS Payment Per Year ($", 'Output | Models'!$F$8," million)")</f>
        <v>CESS Payment Per Year ($2023–24 million)</v>
      </c>
      <c r="D42" s="107">
        <f>D36/(SUM(D41:H41))</f>
        <v>27.376937688653157</v>
      </c>
      <c r="E42" s="107">
        <f>D42</f>
        <v>27.376937688653157</v>
      </c>
      <c r="F42" s="107">
        <f t="shared" ref="F42:H42" si="5">E42</f>
        <v>27.376937688653157</v>
      </c>
      <c r="G42" s="107">
        <f t="shared" si="5"/>
        <v>27.376937688653157</v>
      </c>
      <c r="H42" s="140">
        <f t="shared" si="5"/>
        <v>27.376937688653157</v>
      </c>
      <c r="I42" s="91"/>
      <c r="J42" s="91"/>
      <c r="K42" s="91"/>
      <c r="L42" s="91"/>
      <c r="M42" s="91"/>
      <c r="N42" s="91"/>
      <c r="O42" s="91"/>
    </row>
    <row r="43" spans="1:16382" s="77" customFormat="1" ht="11.25" customHeight="1"/>
    <row r="44" spans="1:16382" s="30" customFormat="1" ht="11.25" customHeight="1">
      <c r="C44" s="179" t="str">
        <f>CONCATENATE("Total CESS Payment ($", 'Output | Models'!$F$8," million)")</f>
        <v>Total CESS Payment ($2023–24 million)</v>
      </c>
      <c r="D44" s="147">
        <f>SUM(D42:H42)</f>
        <v>136.88468844326579</v>
      </c>
      <c r="E44" s="68"/>
      <c r="F44" s="68"/>
      <c r="G44" s="68"/>
      <c r="H44" s="68"/>
      <c r="I44" s="91"/>
      <c r="J44" s="91"/>
      <c r="K44" s="91"/>
      <c r="L44" s="91"/>
      <c r="M44" s="91"/>
      <c r="N44" s="91"/>
      <c r="O44" s="91"/>
    </row>
    <row r="45" spans="1:16382" s="30" customFormat="1" ht="11.25" customHeight="1">
      <c r="C45" s="67"/>
      <c r="D45" s="96"/>
      <c r="E45" s="68"/>
      <c r="F45" s="68"/>
      <c r="G45" s="68"/>
      <c r="H45" s="68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1:16382" ht="12" customHeight="1">
      <c r="A47" s="29"/>
      <c r="B47" s="29" t="s">
        <v>34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Ausgrid Dx 2024-29 Draft Decision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47</v>
      </c>
      <c r="L1" s="149" t="s">
        <v>48</v>
      </c>
      <c r="M1" s="152" t="s">
        <v>36</v>
      </c>
      <c r="R1" s="104"/>
      <c r="S1" s="77"/>
      <c r="T1" s="77"/>
      <c r="U1" s="77"/>
      <c r="V1" s="77"/>
      <c r="W1" s="77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 ht="14.45" customHeight="1">
      <c r="C3" s="41"/>
      <c r="D3" s="42"/>
      <c r="E3" s="42"/>
      <c r="F3" s="42"/>
      <c r="G3" s="42"/>
      <c r="H3" s="42"/>
      <c r="I3" s="42"/>
      <c r="J3" s="205"/>
      <c r="K3" s="205"/>
      <c r="L3" s="205"/>
      <c r="M3" s="42"/>
      <c r="N3" s="205"/>
      <c r="O3" s="205"/>
      <c r="P3" s="205"/>
      <c r="Q3" s="205"/>
      <c r="R3" s="205"/>
      <c r="S3" s="205"/>
      <c r="T3" s="205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7"/>
      <c r="R5" s="77"/>
      <c r="S5" s="77"/>
      <c r="T5" s="77"/>
      <c r="U5" s="77"/>
      <c r="V5" s="77"/>
      <c r="W5" s="77"/>
      <c r="X5" s="77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74" t="str">
        <f>'Calc | CESS Revenue Increments'!D40</f>
        <v>2024-25</v>
      </c>
      <c r="K6" s="174" t="str">
        <f>'Calc | CESS Revenue Increments'!E40</f>
        <v>2025–26</v>
      </c>
      <c r="L6" s="174" t="str">
        <f>'Calc | CESS Revenue Increments'!F40</f>
        <v>2026–27</v>
      </c>
      <c r="M6" s="174" t="str">
        <f>'Calc | CESS Revenue Increments'!G40</f>
        <v>2027–28</v>
      </c>
      <c r="N6" s="174" t="str">
        <f>'Calc | CESS Revenue Increments'!H40</f>
        <v>2028–29</v>
      </c>
      <c r="O6" s="56" t="s">
        <v>86</v>
      </c>
      <c r="P6" s="130"/>
      <c r="Q6" s="77"/>
      <c r="R6" s="77"/>
      <c r="S6" s="77"/>
      <c r="T6" s="77"/>
      <c r="U6" s="77"/>
      <c r="V6" s="77"/>
      <c r="W6" s="77"/>
      <c r="X6" s="77"/>
    </row>
    <row r="7" spans="1:27" ht="11.25" customHeight="1">
      <c r="C7" s="54"/>
      <c r="D7" s="55"/>
      <c r="E7" s="55"/>
      <c r="F7" s="55"/>
      <c r="H7" s="55"/>
      <c r="I7" s="55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7" ht="11.25" customHeight="1">
      <c r="C8" s="57" t="s">
        <v>83</v>
      </c>
      <c r="D8" s="176" t="s">
        <v>58</v>
      </c>
      <c r="E8" s="52" t="s">
        <v>50</v>
      </c>
      <c r="F8" s="175" t="str">
        <f>IF(LEN(J6)&gt;4,CONCATENATE(LEFT(J6,4)-1&amp;"–"&amp;IF(RIGHT(J6,2)="00","99",IF(RIGHT(J6,2)-1&lt;10,"0","")&amp;RIGHT(J6,2)-1)),J6-1)</f>
        <v>2023–24</v>
      </c>
      <c r="H8" s="55"/>
      <c r="I8" s="55"/>
      <c r="J8" s="194">
        <f>'Calc | CESS Revenue Increments'!D42</f>
        <v>27.376937688653157</v>
      </c>
      <c r="K8" s="194">
        <f>'Calc | CESS Revenue Increments'!E42</f>
        <v>27.376937688653157</v>
      </c>
      <c r="L8" s="194">
        <f>'Calc | CESS Revenue Increments'!F42</f>
        <v>27.376937688653157</v>
      </c>
      <c r="M8" s="194">
        <f>'Calc | CESS Revenue Increments'!G42</f>
        <v>27.376937688653157</v>
      </c>
      <c r="N8" s="194">
        <f>'Calc | CESS Revenue Increments'!H42</f>
        <v>27.376937688653157</v>
      </c>
      <c r="O8" s="196">
        <f>SUM(J8:N8)</f>
        <v>136.88468844326579</v>
      </c>
      <c r="P8" s="131"/>
      <c r="Q8" s="77"/>
      <c r="R8" s="77"/>
      <c r="S8" s="77"/>
      <c r="T8" s="77"/>
      <c r="U8" s="77"/>
      <c r="V8" s="77"/>
      <c r="W8" s="77"/>
      <c r="X8" s="77"/>
    </row>
    <row r="9" spans="1:27" ht="11.25" customHeight="1">
      <c r="C9" s="57"/>
      <c r="D9" s="58"/>
      <c r="H9" s="55"/>
      <c r="I9" s="55"/>
      <c r="N9" s="59"/>
      <c r="Q9" s="77"/>
      <c r="R9" s="77"/>
      <c r="S9" s="77"/>
      <c r="T9" s="77"/>
      <c r="U9" s="77"/>
      <c r="V9" s="77"/>
      <c r="W9" s="77"/>
      <c r="X9" s="77"/>
    </row>
    <row r="10" spans="1:27" ht="11.25" customHeight="1">
      <c r="D10" s="58"/>
      <c r="H10" s="55"/>
      <c r="I10" s="55"/>
      <c r="J10" s="128"/>
      <c r="K10" s="128"/>
      <c r="L10" s="128"/>
      <c r="M10" s="128"/>
      <c r="N10" s="128"/>
      <c r="Q10" s="77"/>
      <c r="R10" s="77"/>
      <c r="S10" s="77"/>
      <c r="T10" s="77"/>
      <c r="U10" s="77"/>
      <c r="V10" s="77"/>
      <c r="W10" s="77"/>
      <c r="X10" s="77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0"/>
      <c r="N17" s="60"/>
      <c r="O17" s="60"/>
      <c r="P17" s="60"/>
      <c r="Q17" s="60"/>
      <c r="R17" s="60"/>
      <c r="S17" s="60"/>
      <c r="T17" s="60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headerFooter>
    <oddFooter>&amp;L&amp;1#&amp;"Calibri"&amp;8&amp;K000000For Official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2023-09-24T23:19:51Z</dcterms:created>
  <dcterms:modified xsi:type="dcterms:W3CDTF">2023-09-24T23:44:53Z</dcterms:modified>
  <cp:category/>
  <cp:contentStatus/>
</cp:coreProperties>
</file>